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AJC-Server\UserShares\reception\Documents\"/>
    </mc:Choice>
  </mc:AlternateContent>
  <xr:revisionPtr revIDLastSave="0" documentId="13_ncr:1_{5ED08898-0F8C-442F-9EC6-3D9342E8B1BB}" xr6:coauthVersionLast="45" xr6:coauthVersionMax="45" xr10:uidLastSave="{00000000-0000-0000-0000-000000000000}"/>
  <workbookProtection workbookPassword="CBEB" lockStructure="1"/>
  <bookViews>
    <workbookView xWindow="-120" yWindow="-120" windowWidth="25440" windowHeight="15390" xr2:uid="{00000000-000D-0000-FFFF-FFFF00000000}"/>
  </bookViews>
  <sheets>
    <sheet name="Classification" sheetId="17" r:id="rId1"/>
    <sheet name="LP-01 ENG" sheetId="8" r:id="rId2"/>
    <sheet name="LP-01 FRA" sheetId="13" state="hidden" r:id="rId3"/>
    <sheet name="LP-02 &amp; LP-03 ENG" sheetId="3" r:id="rId4"/>
    <sheet name="LP-04 &amp; LP-05 ENG" sheetId="9" r:id="rId5"/>
    <sheet name="Data Validation" sheetId="5" state="hidden" r:id="rId6"/>
  </sheets>
  <definedNames>
    <definedName name="LP01_A" localSheetId="1">'LP-01 ENG'!$D$129:$N$129</definedName>
    <definedName name="LP01_A" localSheetId="2">'LP-01 FRA'!$D$129:$N$129</definedName>
    <definedName name="LP01_B" localSheetId="1">'LP-01 ENG'!$D$130:$N$130</definedName>
    <definedName name="LP01_B" localSheetId="2">'LP-01 FRA'!$D$130:$N$130</definedName>
    <definedName name="LP01_C" localSheetId="1">'LP-01 ENG'!$D$132:$N$132</definedName>
    <definedName name="LP01_C" localSheetId="2">'LP-01 FRA'!$D$132:$N$132</definedName>
    <definedName name="LP01_D" localSheetId="1">'LP-01 ENG'!$D$133:$N$133</definedName>
    <definedName name="LP01_D" localSheetId="2">'LP-01 FRA'!$D$133:$N$133</definedName>
    <definedName name="LP01_old_rates" localSheetId="1">'LP-01 ENG'!$D$128:$N$128</definedName>
    <definedName name="LP01_old_rates" localSheetId="2">'LP-01 FRA'!$D$128:$N$128</definedName>
    <definedName name="LP02_A" localSheetId="1">'LP-01 ENG'!$D$103:$N$103</definedName>
    <definedName name="LP02_A" localSheetId="2">'LP-01 FRA'!$D$103:$N$103</definedName>
    <definedName name="LP02_B" localSheetId="1">'LP-01 ENG'!$D$104:$N$104</definedName>
    <definedName name="LP02_B" localSheetId="2">'LP-01 FRA'!$D$104:$N$104</definedName>
    <definedName name="LP02_C" localSheetId="1">'LP-01 ENG'!$D$106:$N$106</definedName>
    <definedName name="LP02_C" localSheetId="2">'LP-01 FRA'!$D$106:$N$106</definedName>
    <definedName name="LP02_D" localSheetId="1">'LP-01 ENG'!$D$107:$N$107</definedName>
    <definedName name="LP02_D" localSheetId="2">'LP-01 FRA'!$D$107:$N$107</definedName>
    <definedName name="LP02_LP03_A" localSheetId="3">'LP-02 &amp; LP-03 ENG'!$D$107:$N$107</definedName>
    <definedName name="LP02_LP03_B" localSheetId="3">'LP-02 &amp; LP-03 ENG'!$D$108:$N$108</definedName>
    <definedName name="LP02_LP03_C" localSheetId="3">'LP-02 &amp; LP-03 ENG'!$D$110:$N$110</definedName>
    <definedName name="LP02_LP03_D" localSheetId="3">'LP-02 &amp; LP-03 ENG'!$D$111:$N$111</definedName>
    <definedName name="LP02_LP03_old_rates" localSheetId="3">'LP-02 &amp; LP-03 ENG'!$D$106:$N$106</definedName>
    <definedName name="LP04_LP05_A" localSheetId="4">'LP-04 &amp; LP-05 ENG'!$D$103:$F$103</definedName>
    <definedName name="LP04_LP05_B" localSheetId="4">'LP-04 &amp; LP-05 ENG'!$D$104:$F$104</definedName>
    <definedName name="LP04_LP05_C" localSheetId="4">'LP-04 &amp; LP-05 ENG'!$D$106:$F$106</definedName>
    <definedName name="LP04_LP05_D" localSheetId="4">'LP-04 &amp; LP-05 ENG'!$D$107:$F$107</definedName>
    <definedName name="LP04_LP05_old_rates" localSheetId="4">'LP-04 &amp; LP-05 ENG'!$D$102:$F$102</definedName>
    <definedName name="_xlnm.Print_Area" localSheetId="3">'LP-02 &amp; LP-03 ENG'!$A$1:$O$42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97" i="8" l="1"/>
  <c r="K97" i="8"/>
  <c r="D7" i="13" l="1"/>
  <c r="E7" i="13"/>
  <c r="F7" i="13"/>
  <c r="G7" i="13"/>
  <c r="H7" i="13"/>
  <c r="I7" i="13"/>
  <c r="J7" i="13"/>
  <c r="D8" i="13"/>
  <c r="E8" i="13"/>
  <c r="F8" i="13"/>
  <c r="G8" i="13"/>
  <c r="H8" i="13"/>
  <c r="I8" i="13"/>
  <c r="J8" i="13"/>
  <c r="C8" i="13"/>
  <c r="C7" i="13"/>
  <c r="K193" i="13" l="1"/>
  <c r="J193" i="13"/>
  <c r="I193" i="13"/>
  <c r="H193" i="13"/>
  <c r="G193" i="13"/>
  <c r="F193" i="13"/>
  <c r="E193" i="13"/>
  <c r="D193" i="13"/>
  <c r="K192" i="13"/>
  <c r="J192" i="13"/>
  <c r="I192" i="13"/>
  <c r="H192" i="13"/>
  <c r="G192" i="13"/>
  <c r="F192" i="13"/>
  <c r="E192" i="13"/>
  <c r="D192" i="13"/>
  <c r="K191" i="13"/>
  <c r="J191" i="13"/>
  <c r="I191" i="13"/>
  <c r="H191" i="13"/>
  <c r="G191" i="13"/>
  <c r="F191" i="13"/>
  <c r="E191" i="13"/>
  <c r="D191" i="13"/>
  <c r="K190" i="13"/>
  <c r="J190" i="13"/>
  <c r="I190" i="13"/>
  <c r="H190" i="13"/>
  <c r="G190" i="13"/>
  <c r="F190" i="13"/>
  <c r="E190" i="13"/>
  <c r="D190" i="13"/>
  <c r="K189" i="13"/>
  <c r="J189" i="13"/>
  <c r="I189" i="13"/>
  <c r="H189" i="13"/>
  <c r="G189" i="13"/>
  <c r="F189" i="13"/>
  <c r="E189" i="13"/>
  <c r="D189" i="13"/>
  <c r="K188" i="13"/>
  <c r="J188" i="13"/>
  <c r="I188" i="13"/>
  <c r="H188" i="13"/>
  <c r="G188" i="13"/>
  <c r="F188" i="13"/>
  <c r="E188" i="13"/>
  <c r="D188" i="13"/>
  <c r="T180" i="13"/>
  <c r="T181" i="13" s="1"/>
  <c r="T183" i="13" s="1"/>
  <c r="T184" i="13" s="1"/>
  <c r="S180" i="13"/>
  <c r="S181" i="13" s="1"/>
  <c r="S183" i="13" s="1"/>
  <c r="S184" i="13" s="1"/>
  <c r="R180" i="13"/>
  <c r="R181" i="13" s="1"/>
  <c r="R183" i="13" s="1"/>
  <c r="R184" i="13" s="1"/>
  <c r="Q180" i="13"/>
  <c r="Q181" i="13" s="1"/>
  <c r="Q183" i="13" s="1"/>
  <c r="Q184" i="13" s="1"/>
  <c r="P180" i="13"/>
  <c r="P181" i="13" s="1"/>
  <c r="P183" i="13" s="1"/>
  <c r="P184" i="13" s="1"/>
  <c r="O180" i="13"/>
  <c r="O181" i="13" s="1"/>
  <c r="O183" i="13" s="1"/>
  <c r="O184" i="13" s="1"/>
  <c r="N180" i="13"/>
  <c r="N181" i="13" s="1"/>
  <c r="N183" i="13" s="1"/>
  <c r="N184" i="13" s="1"/>
  <c r="M180" i="13"/>
  <c r="M181" i="13" s="1"/>
  <c r="M183" i="13" s="1"/>
  <c r="M184" i="13" s="1"/>
  <c r="K180" i="13"/>
  <c r="K181" i="13" s="1"/>
  <c r="K183" i="13" s="1"/>
  <c r="K184" i="13" s="1"/>
  <c r="J180" i="13"/>
  <c r="J181" i="13" s="1"/>
  <c r="J183" i="13" s="1"/>
  <c r="J184" i="13" s="1"/>
  <c r="I180" i="13"/>
  <c r="I181" i="13" s="1"/>
  <c r="I183" i="13" s="1"/>
  <c r="I184" i="13" s="1"/>
  <c r="H180" i="13"/>
  <c r="H181" i="13" s="1"/>
  <c r="H183" i="13" s="1"/>
  <c r="H184" i="13" s="1"/>
  <c r="G180" i="13"/>
  <c r="G181" i="13" s="1"/>
  <c r="G183" i="13" s="1"/>
  <c r="G184" i="13" s="1"/>
  <c r="F180" i="13"/>
  <c r="F181" i="13" s="1"/>
  <c r="F183" i="13" s="1"/>
  <c r="F184" i="13" s="1"/>
  <c r="E180" i="13"/>
  <c r="E181" i="13" s="1"/>
  <c r="E183" i="13" s="1"/>
  <c r="E184" i="13" s="1"/>
  <c r="D180" i="13"/>
  <c r="D181" i="13" s="1"/>
  <c r="D183" i="13" s="1"/>
  <c r="D184" i="13" s="1"/>
  <c r="T174" i="13"/>
  <c r="S174" i="13"/>
  <c r="R174" i="13"/>
  <c r="Q174" i="13"/>
  <c r="P174" i="13"/>
  <c r="O174" i="13"/>
  <c r="N174" i="13"/>
  <c r="M174" i="13"/>
  <c r="T173" i="13"/>
  <c r="S173" i="13"/>
  <c r="R173" i="13"/>
  <c r="Q173" i="13"/>
  <c r="P173" i="13"/>
  <c r="O173" i="13"/>
  <c r="N173" i="13"/>
  <c r="M173" i="13"/>
  <c r="T172" i="13"/>
  <c r="S172" i="13"/>
  <c r="R172" i="13"/>
  <c r="Q172" i="13"/>
  <c r="P172" i="13"/>
  <c r="O172" i="13"/>
  <c r="N172" i="13"/>
  <c r="M172" i="13"/>
  <c r="T171" i="13"/>
  <c r="S171" i="13"/>
  <c r="R171" i="13"/>
  <c r="Q171" i="13"/>
  <c r="P171" i="13"/>
  <c r="O171" i="13"/>
  <c r="N171" i="13"/>
  <c r="M171" i="13"/>
  <c r="T170" i="13"/>
  <c r="S170" i="13"/>
  <c r="R170" i="13"/>
  <c r="Q170" i="13"/>
  <c r="P170" i="13"/>
  <c r="O170" i="13"/>
  <c r="N170" i="13"/>
  <c r="M170" i="13"/>
  <c r="H140" i="13"/>
  <c r="J133" i="13"/>
  <c r="J132" i="13"/>
  <c r="K131" i="13"/>
  <c r="J131" i="13"/>
  <c r="I131" i="13"/>
  <c r="H131" i="13"/>
  <c r="G131" i="13"/>
  <c r="F131" i="13"/>
  <c r="E131" i="13"/>
  <c r="D131" i="13"/>
  <c r="J130" i="13"/>
  <c r="K129" i="13"/>
  <c r="J129" i="13"/>
  <c r="I129" i="13"/>
  <c r="H129" i="13"/>
  <c r="F129" i="13"/>
  <c r="K128" i="13"/>
  <c r="J128" i="13"/>
  <c r="I128" i="13"/>
  <c r="H128" i="13"/>
  <c r="G128" i="13"/>
  <c r="F128" i="13"/>
  <c r="E128" i="13"/>
  <c r="D128" i="13"/>
  <c r="K120" i="13"/>
  <c r="J120" i="13"/>
  <c r="J121" i="13" s="1"/>
  <c r="I120" i="13"/>
  <c r="I121" i="13" s="1"/>
  <c r="I123" i="13" s="1"/>
  <c r="I124" i="13" s="1"/>
  <c r="H120" i="13"/>
  <c r="H121" i="13" s="1"/>
  <c r="H123" i="13" s="1"/>
  <c r="H124" i="13" s="1"/>
  <c r="G120" i="13"/>
  <c r="G121" i="13" s="1"/>
  <c r="G123" i="13" s="1"/>
  <c r="G124" i="13" s="1"/>
  <c r="F120" i="13"/>
  <c r="F121" i="13" s="1"/>
  <c r="F123" i="13" s="1"/>
  <c r="F124" i="13" s="1"/>
  <c r="E120" i="13"/>
  <c r="E121" i="13" s="1"/>
  <c r="E123" i="13" s="1"/>
  <c r="E124" i="13" s="1"/>
  <c r="D120" i="13"/>
  <c r="D121" i="13" s="1"/>
  <c r="D123" i="13" s="1"/>
  <c r="D124" i="13" s="1"/>
  <c r="N114" i="13"/>
  <c r="M114" i="13"/>
  <c r="L114" i="13"/>
  <c r="N113" i="13"/>
  <c r="M113" i="13"/>
  <c r="L113" i="13"/>
  <c r="N112" i="13"/>
  <c r="M112" i="13"/>
  <c r="L112" i="13"/>
  <c r="N111" i="13"/>
  <c r="M111" i="13"/>
  <c r="L111" i="13"/>
  <c r="J111" i="13"/>
  <c r="J113" i="13" s="1"/>
  <c r="J114" i="13" s="1"/>
  <c r="N110" i="13"/>
  <c r="M110" i="13"/>
  <c r="L110" i="13"/>
  <c r="K110" i="13"/>
  <c r="K111" i="13" s="1"/>
  <c r="K130" i="13" s="1"/>
  <c r="J110" i="13"/>
  <c r="I110" i="13"/>
  <c r="I111" i="13" s="1"/>
  <c r="H110" i="13"/>
  <c r="H111" i="13" s="1"/>
  <c r="G110" i="13"/>
  <c r="F110" i="13"/>
  <c r="F111" i="13" s="1"/>
  <c r="E110" i="13"/>
  <c r="E129" i="13" s="1"/>
  <c r="D110" i="13"/>
  <c r="D129" i="13" s="1"/>
  <c r="N109" i="13"/>
  <c r="M109" i="13"/>
  <c r="L109" i="13"/>
  <c r="N108" i="13"/>
  <c r="M108" i="13"/>
  <c r="L108" i="13"/>
  <c r="Y97" i="13"/>
  <c r="V97" i="13"/>
  <c r="K97" i="13"/>
  <c r="H97" i="13"/>
  <c r="V54" i="13"/>
  <c r="H54" i="13"/>
  <c r="K13" i="13"/>
  <c r="C68" i="13" s="1"/>
  <c r="C67" i="13" s="1"/>
  <c r="L97" i="13" s="1"/>
  <c r="H28" i="9"/>
  <c r="F103" i="9"/>
  <c r="F104" i="9"/>
  <c r="F102" i="9"/>
  <c r="E53" i="9" s="1"/>
  <c r="F54" i="9" s="1"/>
  <c r="D102" i="9"/>
  <c r="J8" i="9"/>
  <c r="E8" i="3"/>
  <c r="H8" i="9"/>
  <c r="C8" i="3"/>
  <c r="F94" i="9"/>
  <c r="F95" i="9" s="1"/>
  <c r="F97" i="9" s="1"/>
  <c r="F98" i="9" s="1"/>
  <c r="D94" i="9"/>
  <c r="D95" i="9" s="1"/>
  <c r="D97" i="9" s="1"/>
  <c r="D98" i="9" s="1"/>
  <c r="F85" i="9"/>
  <c r="F86" i="9" s="1"/>
  <c r="F88" i="9" s="1"/>
  <c r="F89" i="9" s="1"/>
  <c r="D85" i="9"/>
  <c r="D86" i="9" s="1"/>
  <c r="D88" i="9" s="1"/>
  <c r="D89" i="9" s="1"/>
  <c r="F76" i="9"/>
  <c r="F77" i="9" s="1"/>
  <c r="F79" i="9" s="1"/>
  <c r="F80" i="9" s="1"/>
  <c r="D76" i="9"/>
  <c r="D77" i="9" s="1"/>
  <c r="D79" i="9" s="1"/>
  <c r="D80" i="9" s="1"/>
  <c r="F67" i="9"/>
  <c r="F68" i="9" s="1"/>
  <c r="F70" i="9" s="1"/>
  <c r="F71" i="9" s="1"/>
  <c r="F107" i="9" s="1"/>
  <c r="D67" i="9"/>
  <c r="D68" i="9" s="1"/>
  <c r="D70" i="9" s="1"/>
  <c r="D71" i="9" s="1"/>
  <c r="D107" i="9" s="1"/>
  <c r="D86" i="3"/>
  <c r="K113" i="13" l="1"/>
  <c r="K132" i="13" s="1"/>
  <c r="C142" i="13"/>
  <c r="C141" i="13" s="1"/>
  <c r="D104" i="9"/>
  <c r="H29" i="9"/>
  <c r="H31" i="9" s="1"/>
  <c r="H32" i="9" s="1"/>
  <c r="D111" i="13"/>
  <c r="E111" i="13"/>
  <c r="E49" i="9"/>
  <c r="F50" i="9" s="1"/>
  <c r="E47" i="9"/>
  <c r="F48" i="9" s="1"/>
  <c r="E51" i="9"/>
  <c r="F52" i="9" s="1"/>
  <c r="Q55" i="13"/>
  <c r="Q56" i="13" s="1"/>
  <c r="C64" i="13"/>
  <c r="C63" i="13" s="1"/>
  <c r="M97" i="13"/>
  <c r="Q59" i="13"/>
  <c r="Q60" i="13" s="1"/>
  <c r="Q63" i="13"/>
  <c r="Q64" i="13" s="1"/>
  <c r="X97" i="13" s="1"/>
  <c r="J98" i="13"/>
  <c r="C56" i="13"/>
  <c r="C55" i="13" s="1"/>
  <c r="B97" i="13" s="1"/>
  <c r="E80" i="13"/>
  <c r="F80" i="13" s="1"/>
  <c r="G129" i="13"/>
  <c r="F55" i="13" s="1"/>
  <c r="G111" i="13"/>
  <c r="C159" i="13"/>
  <c r="C158" i="13" s="1"/>
  <c r="H113" i="13"/>
  <c r="H130" i="13"/>
  <c r="P97" i="13"/>
  <c r="I113" i="13"/>
  <c r="I130" i="13"/>
  <c r="F130" i="13"/>
  <c r="F113" i="13"/>
  <c r="C147" i="13"/>
  <c r="C146" i="13" s="1"/>
  <c r="C154" i="13"/>
  <c r="C153" i="13" s="1"/>
  <c r="D130" i="13"/>
  <c r="D113" i="13"/>
  <c r="E113" i="13"/>
  <c r="E130" i="13"/>
  <c r="E81" i="13"/>
  <c r="J123" i="13"/>
  <c r="J124" i="13" s="1"/>
  <c r="R81" i="13"/>
  <c r="K114" i="13"/>
  <c r="K133" i="13" s="1"/>
  <c r="R80" i="13"/>
  <c r="S80" i="13" s="1"/>
  <c r="C60" i="13"/>
  <c r="K121" i="13"/>
  <c r="K123" i="13" s="1"/>
  <c r="K124" i="13" s="1"/>
  <c r="Q67" i="13"/>
  <c r="D103" i="9"/>
  <c r="E29" i="9" s="1"/>
  <c r="F106" i="9"/>
  <c r="D106" i="9"/>
  <c r="H30" i="9" l="1"/>
  <c r="I52" i="9"/>
  <c r="D30" i="13"/>
  <c r="D38" i="13"/>
  <c r="B45" i="13"/>
  <c r="B43" i="13"/>
  <c r="H27" i="13"/>
  <c r="B38" i="13"/>
  <c r="D33" i="13"/>
  <c r="D28" i="13"/>
  <c r="V55" i="13"/>
  <c r="W57" i="13" s="1"/>
  <c r="I31" i="13" s="1"/>
  <c r="H141" i="13"/>
  <c r="E142" i="13" s="1"/>
  <c r="S55" i="13"/>
  <c r="E28" i="13" s="1"/>
  <c r="B33" i="13"/>
  <c r="D35" i="13"/>
  <c r="D40" i="13"/>
  <c r="B35" i="13"/>
  <c r="B30" i="13"/>
  <c r="B28" i="13"/>
  <c r="B40" i="13"/>
  <c r="H55" i="13"/>
  <c r="F141" i="13"/>
  <c r="F132" i="13"/>
  <c r="F114" i="13"/>
  <c r="F133" i="13" s="1"/>
  <c r="B98" i="13"/>
  <c r="Z97" i="13"/>
  <c r="Y98" i="13" s="1"/>
  <c r="Q68" i="13"/>
  <c r="D132" i="13"/>
  <c r="D114" i="13"/>
  <c r="D133" i="13" s="1"/>
  <c r="D43" i="13"/>
  <c r="I114" i="13"/>
  <c r="I133" i="13" s="1"/>
  <c r="I132" i="13"/>
  <c r="C59" i="13"/>
  <c r="G130" i="13"/>
  <c r="G113" i="13"/>
  <c r="H114" i="13"/>
  <c r="H133" i="13" s="1"/>
  <c r="H132" i="13"/>
  <c r="E82" i="13"/>
  <c r="E84" i="13" s="1"/>
  <c r="R82" i="13"/>
  <c r="R84" i="13" s="1"/>
  <c r="E114" i="13"/>
  <c r="E133" i="13" s="1"/>
  <c r="E132" i="13"/>
  <c r="E32" i="9"/>
  <c r="I143" i="13" l="1"/>
  <c r="S56" i="13"/>
  <c r="E30" i="13" s="1"/>
  <c r="V56" i="13"/>
  <c r="V58" i="13" s="1"/>
  <c r="S59" i="13" s="1"/>
  <c r="Q97" i="13"/>
  <c r="H28" i="13"/>
  <c r="C97" i="13"/>
  <c r="E56" i="13"/>
  <c r="I57" i="13"/>
  <c r="H142" i="13"/>
  <c r="H144" i="13" s="1"/>
  <c r="F146" i="13" s="1"/>
  <c r="H56" i="13"/>
  <c r="D97" i="13" s="1"/>
  <c r="F83" i="13"/>
  <c r="R97" i="13"/>
  <c r="F86" i="13"/>
  <c r="E85" i="13"/>
  <c r="E87" i="13" s="1"/>
  <c r="R85" i="13"/>
  <c r="R87" i="13" s="1"/>
  <c r="S86" i="13"/>
  <c r="AA97" i="13"/>
  <c r="D45" i="13"/>
  <c r="S83" i="13"/>
  <c r="H57" i="13"/>
  <c r="V57" i="13"/>
  <c r="G132" i="13"/>
  <c r="G114" i="13"/>
  <c r="G133" i="13" s="1"/>
  <c r="H33" i="9"/>
  <c r="H34" i="9"/>
  <c r="H35" i="9" s="1"/>
  <c r="I51" i="9"/>
  <c r="H143" i="13" l="1"/>
  <c r="H58" i="13"/>
  <c r="E97" i="13" s="1"/>
  <c r="H30" i="13"/>
  <c r="H146" i="13"/>
  <c r="I148" i="13" s="1"/>
  <c r="H31" i="13"/>
  <c r="P98" i="13"/>
  <c r="R88" i="13"/>
  <c r="R90" i="13" s="1"/>
  <c r="R91" i="13" s="1"/>
  <c r="S89" i="13"/>
  <c r="E88" i="13"/>
  <c r="E90" i="13" s="1"/>
  <c r="E91" i="13" s="1"/>
  <c r="F89" i="13"/>
  <c r="E33" i="13"/>
  <c r="V59" i="13"/>
  <c r="W61" i="13" s="1"/>
  <c r="S97" i="13"/>
  <c r="H32" i="13"/>
  <c r="E35" i="9"/>
  <c r="H59" i="13" l="1"/>
  <c r="E60" i="13" s="1"/>
  <c r="E59" i="13"/>
  <c r="H147" i="13"/>
  <c r="H151" i="13" s="1"/>
  <c r="F153" i="13" s="1"/>
  <c r="S60" i="13"/>
  <c r="E35" i="13" s="1"/>
  <c r="E147" i="13"/>
  <c r="H148" i="13"/>
  <c r="I36" i="13"/>
  <c r="V60" i="13"/>
  <c r="H33" i="13"/>
  <c r="T97" i="13"/>
  <c r="H37" i="9"/>
  <c r="H38" i="9" s="1"/>
  <c r="H36" i="9"/>
  <c r="F97" i="13" l="1"/>
  <c r="E98" i="13" s="1"/>
  <c r="H60" i="13"/>
  <c r="H61" i="13" s="1"/>
  <c r="I61" i="13"/>
  <c r="H153" i="13"/>
  <c r="E154" i="13" s="1"/>
  <c r="V62" i="13"/>
  <c r="S63" i="13" s="1"/>
  <c r="H35" i="13"/>
  <c r="U97" i="13"/>
  <c r="V61" i="13"/>
  <c r="H36" i="13" s="1"/>
  <c r="H39" i="9"/>
  <c r="E38" i="9"/>
  <c r="G97" i="13" l="1"/>
  <c r="H62" i="13"/>
  <c r="E63" i="13" s="1"/>
  <c r="H154" i="13"/>
  <c r="H156" i="13" s="1"/>
  <c r="F158" i="13" s="1"/>
  <c r="I155" i="13"/>
  <c r="S98" i="13"/>
  <c r="H155" i="13"/>
  <c r="V63" i="13"/>
  <c r="E38" i="13"/>
  <c r="H37" i="13"/>
  <c r="H63" i="13" l="1"/>
  <c r="I65" i="13" s="1"/>
  <c r="H158" i="13"/>
  <c r="E159" i="13" s="1"/>
  <c r="W97" i="13"/>
  <c r="W65" i="13"/>
  <c r="I41" i="13" s="1"/>
  <c r="S64" i="13"/>
  <c r="E40" i="13" s="1"/>
  <c r="V64" i="13"/>
  <c r="H38" i="13"/>
  <c r="H64" i="13" l="1"/>
  <c r="H65" i="13" s="1"/>
  <c r="I97" i="13"/>
  <c r="H98" i="13" s="1"/>
  <c r="B101" i="13" s="1"/>
  <c r="E64" i="13"/>
  <c r="I160" i="13"/>
  <c r="H159" i="13"/>
  <c r="H160" i="13" s="1"/>
  <c r="V98" i="13"/>
  <c r="P101" i="13" s="1"/>
  <c r="P100" i="13"/>
  <c r="V66" i="13"/>
  <c r="S67" i="13" s="1"/>
  <c r="H40" i="13"/>
  <c r="V65" i="13"/>
  <c r="H41" i="13" s="1"/>
  <c r="J97" i="13" l="1"/>
  <c r="B100" i="13" s="1"/>
  <c r="H66" i="13"/>
  <c r="E67" i="13" s="1"/>
  <c r="J23" i="13"/>
  <c r="E43" i="13"/>
  <c r="H42" i="13"/>
  <c r="V67" i="13"/>
  <c r="H67" i="13" l="1"/>
  <c r="H68" i="13" s="1"/>
  <c r="H69" i="13" s="1"/>
  <c r="S68" i="13"/>
  <c r="W69" i="13"/>
  <c r="I69" i="13"/>
  <c r="E68" i="13"/>
  <c r="V68" i="13"/>
  <c r="H45" i="13" s="1"/>
  <c r="E45" i="13"/>
  <c r="I46" i="13"/>
  <c r="H43" i="13"/>
  <c r="V69" i="13" l="1"/>
  <c r="H46" i="13" s="1"/>
  <c r="C7" i="8" l="1"/>
  <c r="D7" i="8"/>
  <c r="E7" i="8"/>
  <c r="F7" i="8"/>
  <c r="G7" i="8"/>
  <c r="H7" i="8"/>
  <c r="I7" i="8"/>
  <c r="J7" i="8"/>
  <c r="C8" i="8"/>
  <c r="D8" i="8"/>
  <c r="E8" i="8"/>
  <c r="F8" i="8"/>
  <c r="G8" i="8"/>
  <c r="H8" i="8"/>
  <c r="I8" i="8"/>
  <c r="J8" i="8"/>
  <c r="K13" i="8"/>
  <c r="K13" i="9" l="1"/>
  <c r="D38" i="9" s="1"/>
  <c r="K7" i="3"/>
  <c r="L106" i="3"/>
  <c r="K106" i="3"/>
  <c r="J7" i="3"/>
  <c r="D7" i="3"/>
  <c r="E7" i="3"/>
  <c r="F7" i="3"/>
  <c r="G7" i="3"/>
  <c r="H7" i="3"/>
  <c r="I7" i="3"/>
  <c r="L7" i="3"/>
  <c r="M7" i="3"/>
  <c r="C7" i="3"/>
  <c r="D8" i="3"/>
  <c r="F8" i="3"/>
  <c r="G8" i="3"/>
  <c r="H8" i="3"/>
  <c r="I8" i="3"/>
  <c r="J8" i="3"/>
  <c r="K8" i="3"/>
  <c r="L8" i="3"/>
  <c r="M8" i="3"/>
  <c r="D106" i="3"/>
  <c r="E106" i="3"/>
  <c r="F106" i="3"/>
  <c r="G106" i="3"/>
  <c r="H106" i="3"/>
  <c r="I106" i="3"/>
  <c r="J106" i="3"/>
  <c r="M106" i="3"/>
  <c r="N106" i="3"/>
  <c r="E107" i="3"/>
  <c r="F107" i="3"/>
  <c r="G107" i="3"/>
  <c r="H107" i="3"/>
  <c r="I107" i="3"/>
  <c r="J107" i="3"/>
  <c r="K107" i="3"/>
  <c r="L107" i="3"/>
  <c r="M107" i="3"/>
  <c r="N107" i="3"/>
  <c r="E108" i="3"/>
  <c r="F108" i="3"/>
  <c r="G108" i="3"/>
  <c r="H108" i="3"/>
  <c r="I108" i="3"/>
  <c r="J108" i="3"/>
  <c r="K108" i="3"/>
  <c r="L108" i="3"/>
  <c r="M108" i="3"/>
  <c r="N108" i="3"/>
  <c r="E109" i="3"/>
  <c r="F109" i="3"/>
  <c r="G109" i="3"/>
  <c r="H109" i="3"/>
  <c r="I109" i="3"/>
  <c r="J109" i="3"/>
  <c r="K109" i="3"/>
  <c r="L109" i="3"/>
  <c r="M109" i="3"/>
  <c r="N109" i="3"/>
  <c r="E110" i="3"/>
  <c r="F110" i="3"/>
  <c r="G110" i="3"/>
  <c r="H110" i="3"/>
  <c r="I110" i="3"/>
  <c r="J110" i="3"/>
  <c r="K110" i="3"/>
  <c r="L110" i="3"/>
  <c r="M110" i="3"/>
  <c r="N110" i="3"/>
  <c r="E111" i="3"/>
  <c r="F111" i="3"/>
  <c r="G111" i="3"/>
  <c r="H111" i="3"/>
  <c r="I111" i="3"/>
  <c r="J111" i="3"/>
  <c r="K111" i="3"/>
  <c r="L111" i="3"/>
  <c r="M111" i="3"/>
  <c r="N111" i="3"/>
  <c r="D107" i="3"/>
  <c r="D108" i="3"/>
  <c r="D109" i="3"/>
  <c r="D110" i="3"/>
  <c r="D111" i="3"/>
  <c r="K96" i="3"/>
  <c r="K97" i="3" s="1"/>
  <c r="K99" i="3" s="1"/>
  <c r="K100" i="3" s="1"/>
  <c r="J96" i="3"/>
  <c r="J97" i="3" s="1"/>
  <c r="J99" i="3" s="1"/>
  <c r="J100" i="3" s="1"/>
  <c r="I96" i="3"/>
  <c r="I97" i="3" s="1"/>
  <c r="I99" i="3" s="1"/>
  <c r="I100" i="3" s="1"/>
  <c r="H96" i="3"/>
  <c r="H97" i="3" s="1"/>
  <c r="H99" i="3" s="1"/>
  <c r="H100" i="3" s="1"/>
  <c r="G96" i="3"/>
  <c r="G97" i="3" s="1"/>
  <c r="G99" i="3" s="1"/>
  <c r="G100" i="3" s="1"/>
  <c r="F96" i="3"/>
  <c r="F97" i="3" s="1"/>
  <c r="F99" i="3" s="1"/>
  <c r="F100" i="3" s="1"/>
  <c r="E96" i="3"/>
  <c r="E97" i="3" s="1"/>
  <c r="E99" i="3" s="1"/>
  <c r="E100" i="3" s="1"/>
  <c r="D96" i="3"/>
  <c r="D97" i="3" s="1"/>
  <c r="D99" i="3" s="1"/>
  <c r="D100" i="3" s="1"/>
  <c r="I86" i="3"/>
  <c r="I87" i="3" s="1"/>
  <c r="I89" i="3" s="1"/>
  <c r="I90" i="3" s="1"/>
  <c r="H86" i="3"/>
  <c r="H87" i="3" s="1"/>
  <c r="H89" i="3" s="1"/>
  <c r="H90" i="3" s="1"/>
  <c r="G86" i="3"/>
  <c r="G87" i="3" s="1"/>
  <c r="G89" i="3" s="1"/>
  <c r="G90" i="3" s="1"/>
  <c r="F86" i="3"/>
  <c r="F87" i="3" s="1"/>
  <c r="F89" i="3" s="1"/>
  <c r="F90" i="3" s="1"/>
  <c r="E86" i="3"/>
  <c r="E87" i="3" s="1"/>
  <c r="E89" i="3" s="1"/>
  <c r="E90" i="3" s="1"/>
  <c r="D87" i="3"/>
  <c r="D89" i="3" s="1"/>
  <c r="D90" i="3" s="1"/>
  <c r="J57" i="9" l="1"/>
  <c r="K57" i="9"/>
  <c r="E47" i="3"/>
  <c r="F48" i="3" s="1"/>
  <c r="E45" i="3"/>
  <c r="F46" i="3" s="1"/>
  <c r="D29" i="9"/>
  <c r="E57" i="9" s="1"/>
  <c r="E58" i="9" s="1"/>
  <c r="D32" i="9"/>
  <c r="G57" i="9" s="1"/>
  <c r="D35" i="9"/>
  <c r="M180" i="8"/>
  <c r="M181" i="8" s="1"/>
  <c r="M183" i="8" s="1"/>
  <c r="M184" i="8" s="1"/>
  <c r="T180" i="8"/>
  <c r="T181" i="8" s="1"/>
  <c r="T183" i="8" s="1"/>
  <c r="T184" i="8" s="1"/>
  <c r="S180" i="8"/>
  <c r="S181" i="8" s="1"/>
  <c r="S183" i="8" s="1"/>
  <c r="S184" i="8" s="1"/>
  <c r="R180" i="8"/>
  <c r="R181" i="8" s="1"/>
  <c r="R183" i="8" s="1"/>
  <c r="R184" i="8" s="1"/>
  <c r="Q180" i="8"/>
  <c r="Q181" i="8" s="1"/>
  <c r="Q183" i="8" s="1"/>
  <c r="Q184" i="8" s="1"/>
  <c r="P180" i="8"/>
  <c r="P181" i="8" s="1"/>
  <c r="P183" i="8" s="1"/>
  <c r="P184" i="8" s="1"/>
  <c r="O180" i="8"/>
  <c r="O181" i="8" s="1"/>
  <c r="O183" i="8" s="1"/>
  <c r="O184" i="8" s="1"/>
  <c r="N180" i="8"/>
  <c r="N181" i="8" s="1"/>
  <c r="N183" i="8" s="1"/>
  <c r="N184" i="8" s="1"/>
  <c r="N170" i="8"/>
  <c r="O170" i="8"/>
  <c r="P170" i="8"/>
  <c r="Q170" i="8"/>
  <c r="R170" i="8"/>
  <c r="S170" i="8"/>
  <c r="T170" i="8"/>
  <c r="N171" i="8"/>
  <c r="O171" i="8"/>
  <c r="P171" i="8"/>
  <c r="Q171" i="8"/>
  <c r="R171" i="8"/>
  <c r="S171" i="8"/>
  <c r="T171" i="8"/>
  <c r="N172" i="8"/>
  <c r="O172" i="8"/>
  <c r="P172" i="8"/>
  <c r="Q172" i="8"/>
  <c r="R172" i="8"/>
  <c r="S172" i="8"/>
  <c r="T172" i="8"/>
  <c r="N173" i="8"/>
  <c r="O173" i="8"/>
  <c r="P173" i="8"/>
  <c r="Q173" i="8"/>
  <c r="R173" i="8"/>
  <c r="S173" i="8"/>
  <c r="T173" i="8"/>
  <c r="N174" i="8"/>
  <c r="O174" i="8"/>
  <c r="P174" i="8"/>
  <c r="Q174" i="8"/>
  <c r="R174" i="8"/>
  <c r="S174" i="8"/>
  <c r="T174" i="8"/>
  <c r="M171" i="8"/>
  <c r="M172" i="8"/>
  <c r="M173" i="8"/>
  <c r="M174" i="8"/>
  <c r="M170" i="8"/>
  <c r="K180" i="8"/>
  <c r="K181" i="8" s="1"/>
  <c r="K183" i="8" s="1"/>
  <c r="K184" i="8" s="1"/>
  <c r="J180" i="8"/>
  <c r="J181" i="8" s="1"/>
  <c r="J183" i="8" s="1"/>
  <c r="J184" i="8" s="1"/>
  <c r="I180" i="8"/>
  <c r="I181" i="8" s="1"/>
  <c r="I183" i="8" s="1"/>
  <c r="I184" i="8" s="1"/>
  <c r="H180" i="8"/>
  <c r="H181" i="8" s="1"/>
  <c r="H183" i="8" s="1"/>
  <c r="H184" i="8" s="1"/>
  <c r="G180" i="8"/>
  <c r="G181" i="8" s="1"/>
  <c r="G183" i="8" s="1"/>
  <c r="G184" i="8" s="1"/>
  <c r="F180" i="8"/>
  <c r="F181" i="8" s="1"/>
  <c r="F183" i="8" s="1"/>
  <c r="F184" i="8" s="1"/>
  <c r="E180" i="8"/>
  <c r="E181" i="8" s="1"/>
  <c r="E183" i="8" s="1"/>
  <c r="E184" i="8" s="1"/>
  <c r="D180" i="8"/>
  <c r="D181" i="8" s="1"/>
  <c r="D183" i="8" s="1"/>
  <c r="D184" i="8" s="1"/>
  <c r="I189" i="8"/>
  <c r="D189" i="8"/>
  <c r="K189" i="8"/>
  <c r="K191" i="8"/>
  <c r="J191" i="8"/>
  <c r="I191" i="8"/>
  <c r="H191" i="8"/>
  <c r="G191" i="8"/>
  <c r="F191" i="8"/>
  <c r="E191" i="8"/>
  <c r="D191" i="8"/>
  <c r="K188" i="8"/>
  <c r="J188" i="8"/>
  <c r="I188" i="8"/>
  <c r="H188" i="8"/>
  <c r="G188" i="8"/>
  <c r="F188" i="8"/>
  <c r="E188" i="8"/>
  <c r="D188" i="8"/>
  <c r="H189" i="8"/>
  <c r="G189" i="8"/>
  <c r="F189" i="8"/>
  <c r="E189" i="8"/>
  <c r="I57" i="9" l="1"/>
  <c r="H57" i="9"/>
  <c r="F57" i="9"/>
  <c r="J58" i="9"/>
  <c r="E49" i="3"/>
  <c r="F50" i="3" s="1"/>
  <c r="J189" i="8"/>
  <c r="H58" i="9" l="1"/>
  <c r="E60" i="9"/>
  <c r="F58" i="9"/>
  <c r="I190" i="8"/>
  <c r="H190" i="8"/>
  <c r="G190" i="8"/>
  <c r="F190" i="8"/>
  <c r="E190" i="8"/>
  <c r="D190" i="8"/>
  <c r="K190" i="8"/>
  <c r="J190" i="8"/>
  <c r="E61" i="9" l="1"/>
  <c r="J24" i="9" s="1"/>
  <c r="J192" i="8"/>
  <c r="J193" i="8"/>
  <c r="F192" i="8"/>
  <c r="F193" i="8"/>
  <c r="K192" i="8"/>
  <c r="K193" i="8"/>
  <c r="G192" i="8"/>
  <c r="G193" i="8"/>
  <c r="D192" i="8"/>
  <c r="D193" i="8"/>
  <c r="H192" i="8"/>
  <c r="H193" i="8"/>
  <c r="E192" i="8"/>
  <c r="E193" i="8"/>
  <c r="I192" i="8"/>
  <c r="I193" i="8"/>
  <c r="H140" i="8" l="1"/>
  <c r="H54" i="8"/>
  <c r="V54" i="8" l="1"/>
  <c r="D128" i="8"/>
  <c r="E120" i="8"/>
  <c r="E121" i="8" s="1"/>
  <c r="E123" i="8" s="1"/>
  <c r="E124" i="8" s="1"/>
  <c r="F120" i="8"/>
  <c r="F121" i="8" s="1"/>
  <c r="F123" i="8" s="1"/>
  <c r="F124" i="8" s="1"/>
  <c r="G120" i="8"/>
  <c r="G121" i="8" s="1"/>
  <c r="G123" i="8" s="1"/>
  <c r="G124" i="8" s="1"/>
  <c r="H120" i="8"/>
  <c r="H121" i="8" s="1"/>
  <c r="H123" i="8" s="1"/>
  <c r="H124" i="8" s="1"/>
  <c r="I120" i="8"/>
  <c r="I121" i="8" s="1"/>
  <c r="I123" i="8" s="1"/>
  <c r="I124" i="8" s="1"/>
  <c r="J120" i="8"/>
  <c r="J121" i="8" s="1"/>
  <c r="J123" i="8" s="1"/>
  <c r="J124" i="8" s="1"/>
  <c r="K120" i="8"/>
  <c r="E110" i="8"/>
  <c r="E111" i="8" s="1"/>
  <c r="E113" i="8" s="1"/>
  <c r="E114" i="8" s="1"/>
  <c r="F110" i="8"/>
  <c r="F111" i="8" s="1"/>
  <c r="F113" i="8" s="1"/>
  <c r="F114" i="8" s="1"/>
  <c r="G110" i="8"/>
  <c r="G111" i="8" s="1"/>
  <c r="G113" i="8" s="1"/>
  <c r="G114" i="8" s="1"/>
  <c r="H110" i="8"/>
  <c r="H111" i="8" s="1"/>
  <c r="H113" i="8" s="1"/>
  <c r="H114" i="8" s="1"/>
  <c r="I110" i="8"/>
  <c r="I111" i="8" s="1"/>
  <c r="I113" i="8" s="1"/>
  <c r="I114" i="8" s="1"/>
  <c r="J110" i="8"/>
  <c r="J111" i="8" s="1"/>
  <c r="J113" i="8" s="1"/>
  <c r="J114" i="8" s="1"/>
  <c r="K110" i="8"/>
  <c r="K111" i="8" s="1"/>
  <c r="K113" i="8" s="1"/>
  <c r="K114" i="8" s="1"/>
  <c r="K121" i="8" l="1"/>
  <c r="K123" i="8" s="1"/>
  <c r="K124" i="8" s="1"/>
  <c r="C142" i="8"/>
  <c r="C141" i="8" s="1"/>
  <c r="C159" i="8"/>
  <c r="C158" i="8" s="1"/>
  <c r="C154" i="8"/>
  <c r="C153" i="8" s="1"/>
  <c r="C147" i="8"/>
  <c r="C146" i="8" s="1"/>
  <c r="K131" i="8"/>
  <c r="J131" i="8"/>
  <c r="I131" i="8"/>
  <c r="H131" i="8"/>
  <c r="G131" i="8"/>
  <c r="F131" i="8"/>
  <c r="E131" i="8"/>
  <c r="D131" i="8"/>
  <c r="I130" i="8"/>
  <c r="H130" i="8"/>
  <c r="K129" i="8"/>
  <c r="H129" i="8"/>
  <c r="F129" i="8"/>
  <c r="E129" i="8"/>
  <c r="K128" i="8"/>
  <c r="J128" i="8"/>
  <c r="I128" i="8"/>
  <c r="H128" i="8"/>
  <c r="G128" i="8"/>
  <c r="E81" i="8" s="1"/>
  <c r="F128" i="8"/>
  <c r="E128" i="8"/>
  <c r="G130" i="8"/>
  <c r="J129" i="8"/>
  <c r="I129" i="8"/>
  <c r="G129" i="8"/>
  <c r="D120" i="8"/>
  <c r="D121" i="8" s="1"/>
  <c r="N114" i="8"/>
  <c r="M114" i="8"/>
  <c r="L114" i="8"/>
  <c r="N113" i="8"/>
  <c r="M113" i="8"/>
  <c r="L113" i="8"/>
  <c r="N112" i="8"/>
  <c r="M112" i="8"/>
  <c r="L112" i="8"/>
  <c r="N111" i="8"/>
  <c r="M111" i="8"/>
  <c r="L111" i="8"/>
  <c r="N110" i="8"/>
  <c r="M110" i="8"/>
  <c r="L110" i="8"/>
  <c r="D110" i="8"/>
  <c r="D111" i="8" s="1"/>
  <c r="D113" i="8" s="1"/>
  <c r="D114" i="8" s="1"/>
  <c r="N109" i="8"/>
  <c r="M109" i="8"/>
  <c r="L109" i="8"/>
  <c r="N108" i="8"/>
  <c r="M108" i="8"/>
  <c r="L108" i="8"/>
  <c r="Q55" i="8"/>
  <c r="Q56" i="8" s="1"/>
  <c r="R80" i="8" l="1"/>
  <c r="S80" i="8" s="1"/>
  <c r="E80" i="8"/>
  <c r="F80" i="8" s="1"/>
  <c r="R81" i="8"/>
  <c r="P97" i="8"/>
  <c r="D129" i="8"/>
  <c r="C56" i="8"/>
  <c r="C55" i="8" s="1"/>
  <c r="B97" i="8" s="1"/>
  <c r="C60" i="8"/>
  <c r="Q67" i="8"/>
  <c r="Z97" i="8" s="1"/>
  <c r="C68" i="8"/>
  <c r="M97" i="8" s="1"/>
  <c r="Q63" i="8"/>
  <c r="C64" i="8"/>
  <c r="Q59" i="8"/>
  <c r="D130" i="8"/>
  <c r="D123" i="8"/>
  <c r="E130" i="8"/>
  <c r="K130" i="8"/>
  <c r="F130" i="8"/>
  <c r="H133" i="8"/>
  <c r="H132" i="8"/>
  <c r="I132" i="8"/>
  <c r="I133" i="8"/>
  <c r="R82" i="8" l="1"/>
  <c r="R84" i="8" s="1"/>
  <c r="S55" i="8"/>
  <c r="F55" i="8"/>
  <c r="B43" i="8"/>
  <c r="B30" i="8"/>
  <c r="D28" i="8"/>
  <c r="B45" i="8"/>
  <c r="B38" i="8"/>
  <c r="B35" i="8"/>
  <c r="B28" i="8"/>
  <c r="H27" i="8"/>
  <c r="B40" i="8"/>
  <c r="B33" i="8"/>
  <c r="D30" i="8"/>
  <c r="Q60" i="8"/>
  <c r="Q64" i="8"/>
  <c r="H55" i="8"/>
  <c r="C97" i="8" s="1"/>
  <c r="H141" i="8"/>
  <c r="F141" i="8"/>
  <c r="Q68" i="8"/>
  <c r="AA97" i="8" s="1"/>
  <c r="E82" i="8"/>
  <c r="V55" i="8"/>
  <c r="C59" i="8"/>
  <c r="C63" i="8"/>
  <c r="C67" i="8"/>
  <c r="J130" i="8"/>
  <c r="E133" i="8"/>
  <c r="E132" i="8"/>
  <c r="F133" i="8"/>
  <c r="F132" i="8"/>
  <c r="D124" i="8"/>
  <c r="D133" i="8" s="1"/>
  <c r="D132" i="8"/>
  <c r="G133" i="8"/>
  <c r="G132" i="8"/>
  <c r="K132" i="8"/>
  <c r="K133" i="8"/>
  <c r="E28" i="8" l="1"/>
  <c r="D38" i="8"/>
  <c r="D33" i="8"/>
  <c r="D40" i="8"/>
  <c r="AD99" i="8"/>
  <c r="AE99" i="8"/>
  <c r="D35" i="8"/>
  <c r="D43" i="8"/>
  <c r="R85" i="8"/>
  <c r="E84" i="8"/>
  <c r="F83" i="8"/>
  <c r="S83" i="8"/>
  <c r="E56" i="8"/>
  <c r="H28" i="8"/>
  <c r="S56" i="8"/>
  <c r="I57" i="8"/>
  <c r="D45" i="8"/>
  <c r="E142" i="8"/>
  <c r="I143" i="8"/>
  <c r="H142" i="8"/>
  <c r="H144" i="8" s="1"/>
  <c r="H56" i="8"/>
  <c r="D97" i="8" s="1"/>
  <c r="Q97" i="8"/>
  <c r="V56" i="8"/>
  <c r="W57" i="8"/>
  <c r="I31" i="8" s="1"/>
  <c r="J133" i="8"/>
  <c r="J132" i="8"/>
  <c r="R87" i="8" l="1"/>
  <c r="R88" i="8" s="1"/>
  <c r="R90" i="8" s="1"/>
  <c r="R91" i="8" s="1"/>
  <c r="AE98" i="8"/>
  <c r="E30" i="8"/>
  <c r="H30" i="8"/>
  <c r="S86" i="8"/>
  <c r="E85" i="8"/>
  <c r="E87" i="8" s="1"/>
  <c r="H57" i="8"/>
  <c r="B98" i="8" s="1"/>
  <c r="H58" i="8"/>
  <c r="E97" i="8" s="1"/>
  <c r="F146" i="8"/>
  <c r="H146" i="8"/>
  <c r="H143" i="8"/>
  <c r="V58" i="8"/>
  <c r="S97" i="8" s="1"/>
  <c r="R97" i="8"/>
  <c r="V57" i="8"/>
  <c r="P98" i="8" s="1"/>
  <c r="F86" i="8" l="1"/>
  <c r="E59" i="8"/>
  <c r="S89" i="8"/>
  <c r="H31" i="8"/>
  <c r="H32" i="8"/>
  <c r="S59" i="8"/>
  <c r="E33" i="8" s="1"/>
  <c r="H59" i="8"/>
  <c r="F97" i="8" s="1"/>
  <c r="I148" i="8"/>
  <c r="H147" i="8"/>
  <c r="H151" i="8" s="1"/>
  <c r="E147" i="8"/>
  <c r="V59" i="8"/>
  <c r="H33" i="8" s="1"/>
  <c r="E88" i="8"/>
  <c r="E90" i="8" s="1"/>
  <c r="I61" i="8" l="1"/>
  <c r="F89" i="8"/>
  <c r="E91" i="8"/>
  <c r="E60" i="8"/>
  <c r="S60" i="8"/>
  <c r="E35" i="8" s="1"/>
  <c r="H60" i="8"/>
  <c r="G97" i="8" s="1"/>
  <c r="H148" i="8"/>
  <c r="H153" i="8"/>
  <c r="F153" i="8"/>
  <c r="T97" i="8"/>
  <c r="V60" i="8"/>
  <c r="U97" i="8" s="1"/>
  <c r="W61" i="8"/>
  <c r="I36" i="8" s="1"/>
  <c r="H62" i="8" l="1"/>
  <c r="H97" i="8" s="1"/>
  <c r="AC98" i="8"/>
  <c r="AD98" i="8"/>
  <c r="AF98" i="8" s="1"/>
  <c r="H61" i="8"/>
  <c r="E98" i="8" s="1"/>
  <c r="V61" i="8"/>
  <c r="S98" i="8" s="1"/>
  <c r="H35" i="8"/>
  <c r="I155" i="8"/>
  <c r="E154" i="8"/>
  <c r="H154" i="8"/>
  <c r="H156" i="8" s="1"/>
  <c r="V62" i="8"/>
  <c r="V97" i="8" s="1"/>
  <c r="H63" i="8"/>
  <c r="I97" i="8" s="1"/>
  <c r="E64" i="8" l="1"/>
  <c r="E63" i="8"/>
  <c r="H36" i="8"/>
  <c r="H37" i="8"/>
  <c r="S63" i="8"/>
  <c r="E38" i="8" s="1"/>
  <c r="H155" i="8"/>
  <c r="F158" i="8"/>
  <c r="H158" i="8"/>
  <c r="V63" i="8"/>
  <c r="W97" i="8" s="1"/>
  <c r="I65" i="8"/>
  <c r="H64" i="8"/>
  <c r="J97" i="8" s="1"/>
  <c r="H66" i="8" l="1"/>
  <c r="H38" i="8"/>
  <c r="S64" i="8"/>
  <c r="E40" i="8" s="1"/>
  <c r="I160" i="8"/>
  <c r="E159" i="8"/>
  <c r="H159" i="8"/>
  <c r="H160" i="8" s="1"/>
  <c r="W65" i="8"/>
  <c r="I41" i="8" s="1"/>
  <c r="V64" i="8"/>
  <c r="X97" i="8" s="1"/>
  <c r="H65" i="8"/>
  <c r="H98" i="8" s="1"/>
  <c r="E67" i="8" l="1"/>
  <c r="V66" i="8"/>
  <c r="H40" i="8"/>
  <c r="V65" i="8"/>
  <c r="V98" i="8" s="1"/>
  <c r="H67" i="8"/>
  <c r="L97" i="8" s="1"/>
  <c r="S67" i="8" l="1"/>
  <c r="E43" i="8" s="1"/>
  <c r="E68" i="8"/>
  <c r="H41" i="8"/>
  <c r="H42" i="8"/>
  <c r="V67" i="8"/>
  <c r="H68" i="8"/>
  <c r="I69" i="8"/>
  <c r="B100" i="8" l="1"/>
  <c r="S68" i="8"/>
  <c r="E45" i="8" s="1"/>
  <c r="V68" i="8"/>
  <c r="H43" i="8"/>
  <c r="W69" i="8"/>
  <c r="I46" i="8" s="1"/>
  <c r="H69" i="8"/>
  <c r="J98" i="8" s="1"/>
  <c r="B101" i="8" s="1"/>
  <c r="P100" i="8" l="1"/>
  <c r="V69" i="8"/>
  <c r="H45" i="8"/>
  <c r="K13" i="3"/>
  <c r="H46" i="8" l="1"/>
  <c r="Y98" i="8"/>
  <c r="P101" i="8" s="1"/>
  <c r="J23" i="8" s="1"/>
  <c r="D28" i="3"/>
  <c r="D37" i="3"/>
  <c r="D34" i="3"/>
  <c r="D31" i="3"/>
  <c r="E77" i="3" l="1"/>
  <c r="F77" i="3"/>
  <c r="G77" i="3"/>
  <c r="G78" i="3" s="1"/>
  <c r="H77" i="3"/>
  <c r="I77" i="3"/>
  <c r="I78" i="3" s="1"/>
  <c r="I80" i="3" s="1"/>
  <c r="I81" i="3" s="1"/>
  <c r="J77" i="3"/>
  <c r="J78" i="3" s="1"/>
  <c r="J80" i="3" s="1"/>
  <c r="J81" i="3" s="1"/>
  <c r="K77" i="3"/>
  <c r="K78" i="3" s="1"/>
  <c r="K80" i="3" s="1"/>
  <c r="K81" i="3" s="1"/>
  <c r="L77" i="3"/>
  <c r="L78" i="3" s="1"/>
  <c r="L80" i="3" s="1"/>
  <c r="L81" i="3" s="1"/>
  <c r="M77" i="3"/>
  <c r="M78" i="3" s="1"/>
  <c r="M80" i="3" s="1"/>
  <c r="M81" i="3" s="1"/>
  <c r="N77" i="3"/>
  <c r="N78" i="3" s="1"/>
  <c r="D77" i="3"/>
  <c r="D67" i="3"/>
  <c r="D68" i="3" s="1"/>
  <c r="D70" i="3" s="1"/>
  <c r="D71" i="3" s="1"/>
  <c r="H27" i="3"/>
  <c r="I29" i="3" s="1"/>
  <c r="E66" i="3"/>
  <c r="F66" i="3" s="1"/>
  <c r="D78" i="3" l="1"/>
  <c r="D80" i="3" s="1"/>
  <c r="F78" i="3"/>
  <c r="F80" i="3" s="1"/>
  <c r="F81" i="3" s="1"/>
  <c r="E78" i="3"/>
  <c r="E80" i="3" s="1"/>
  <c r="E81" i="3" s="1"/>
  <c r="G66" i="3"/>
  <c r="F67" i="3"/>
  <c r="F68" i="3" s="1"/>
  <c r="F70" i="3" s="1"/>
  <c r="F71" i="3" s="1"/>
  <c r="G80" i="3"/>
  <c r="E67" i="3"/>
  <c r="E68" i="3" s="1"/>
  <c r="E70" i="3" s="1"/>
  <c r="E71" i="3" s="1"/>
  <c r="H78" i="3"/>
  <c r="N80" i="3"/>
  <c r="N81" i="3" s="1"/>
  <c r="H80" i="3" l="1"/>
  <c r="G81" i="3"/>
  <c r="D81" i="3"/>
  <c r="H66" i="3"/>
  <c r="G67" i="3"/>
  <c r="G68" i="3" s="1"/>
  <c r="G70" i="3" s="1"/>
  <c r="G71" i="3" s="1"/>
  <c r="I66" i="3" l="1"/>
  <c r="H67" i="3"/>
  <c r="H68" i="3" s="1"/>
  <c r="H70" i="3" s="1"/>
  <c r="H71" i="3" s="1"/>
  <c r="H81" i="3"/>
  <c r="J66" i="3" l="1"/>
  <c r="I67" i="3"/>
  <c r="I68" i="3" s="1"/>
  <c r="I70" i="3" s="1"/>
  <c r="I71" i="3" s="1"/>
  <c r="K66" i="3" l="1"/>
  <c r="K67" i="3" s="1"/>
  <c r="K68" i="3" s="1"/>
  <c r="K70" i="3" s="1"/>
  <c r="K71" i="3" s="1"/>
  <c r="J67" i="3"/>
  <c r="J68" i="3" s="1"/>
  <c r="J70" i="3" s="1"/>
  <c r="J71" i="3" s="1"/>
  <c r="N71" i="3"/>
  <c r="M71" i="3"/>
  <c r="L71" i="3"/>
  <c r="N70" i="3"/>
  <c r="M70" i="3"/>
  <c r="L70" i="3"/>
  <c r="N69" i="3"/>
  <c r="M69" i="3"/>
  <c r="L69" i="3"/>
  <c r="N68" i="3"/>
  <c r="M68" i="3"/>
  <c r="L68" i="3"/>
  <c r="N67" i="3"/>
  <c r="M67" i="3"/>
  <c r="L67" i="3"/>
  <c r="N66" i="3"/>
  <c r="M66" i="3"/>
  <c r="L66" i="3"/>
  <c r="N65" i="3"/>
  <c r="M65" i="3"/>
  <c r="L65" i="3"/>
  <c r="E28" i="3" l="1"/>
  <c r="H28" i="3"/>
  <c r="E57" i="3" l="1"/>
  <c r="H30" i="3"/>
  <c r="H29" i="3"/>
  <c r="F57" i="3" l="1"/>
  <c r="I32" i="3"/>
  <c r="E31" i="3"/>
  <c r="E58" i="3"/>
  <c r="E51" i="3"/>
  <c r="F52" i="3" s="1"/>
  <c r="H31" i="3"/>
  <c r="G57" i="3" s="1"/>
  <c r="E53" i="3" l="1"/>
  <c r="H32" i="3"/>
  <c r="H33" i="3"/>
  <c r="H57" i="3" s="1"/>
  <c r="I35" i="3" l="1"/>
  <c r="F58" i="3"/>
  <c r="E34" i="3"/>
  <c r="H34" i="3"/>
  <c r="I57" i="3" s="1"/>
  <c r="H58" i="3" l="1"/>
  <c r="H35" i="3"/>
  <c r="H36" i="3"/>
  <c r="J57" i="3" s="1"/>
  <c r="I38" i="3" l="1"/>
  <c r="E37" i="3"/>
  <c r="H37" i="3"/>
  <c r="K57" i="3" s="1"/>
  <c r="E60" i="3" s="1"/>
  <c r="H38" i="3" l="1"/>
  <c r="J58" i="3" s="1"/>
  <c r="E61" i="3" l="1"/>
  <c r="J23" i="3" s="1"/>
</calcChain>
</file>

<file path=xl/sharedStrings.xml><?xml version="1.0" encoding="utf-8"?>
<sst xmlns="http://schemas.openxmlformats.org/spreadsheetml/2006/main" count="705" uniqueCount="187">
  <si>
    <t>From:</t>
  </si>
  <si>
    <t>$) May 10, 2017</t>
  </si>
  <si>
    <t>1.5% salary increase</t>
  </si>
  <si>
    <t>LP-02_Toronto</t>
  </si>
  <si>
    <t>Select</t>
  </si>
  <si>
    <t>Enter your anniversary date. Your anniversary date is the date of your last appointment or promotion**</t>
  </si>
  <si>
    <t>MONTH:</t>
  </si>
  <si>
    <t>DAY:</t>
  </si>
  <si>
    <t>OPTIONAL: To include the retroactive pay for your lump sum performance awards to the estimated total retroactive payment, enter the PREA percentage rate for the applicable fiscal years</t>
  </si>
  <si>
    <t>2017-2018</t>
  </si>
  <si>
    <t>2018-2019</t>
  </si>
  <si>
    <t>A</t>
  </si>
  <si>
    <t>2% salary increase and 0.8% Wage adjustment</t>
  </si>
  <si>
    <t>Anniversary</t>
  </si>
  <si>
    <t>B</t>
  </si>
  <si>
    <t>2% salary increase and 0.2% Wage adjustment</t>
  </si>
  <si>
    <t>C</t>
  </si>
  <si>
    <t>D</t>
  </si>
  <si>
    <t>Expiry of collective agreement</t>
  </si>
  <si>
    <t>Year</t>
  </si>
  <si>
    <t>Lockstep salary</t>
  </si>
  <si>
    <t>Lump Sum, if applicable</t>
  </si>
  <si>
    <t>Salary Retro payment</t>
  </si>
  <si>
    <t>A) May 10, 2018 (2%+0.8%)</t>
  </si>
  <si>
    <t>B) May 10, 2019 (2%+0.2%)</t>
  </si>
  <si>
    <t>X) May 10, 2019 (0% kept this line here so I didn't have to disturb the formulas above)</t>
  </si>
  <si>
    <t>C) May 10, 2020 (1.5%)</t>
  </si>
  <si>
    <t>D) May 10, 2021 (1.5%)</t>
  </si>
  <si>
    <t xml:space="preserve">Enter salary paid at the expiry of the last collective agreement (May 9, 2018) in the box to the right*. DO NOT INCLUDE PREA lockstep increment for fiscal year 2017-2018 </t>
  </si>
  <si>
    <t>CALCULATED USING PERCENTAGES ONLY, NOT ROUNDED AS IN PAY TABLE</t>
  </si>
  <si>
    <t>2019-2020</t>
  </si>
  <si>
    <t>2020-2021</t>
  </si>
  <si>
    <t>September</t>
  </si>
  <si>
    <t>2019-2020 Anniversary to May 9, 2020</t>
  </si>
  <si>
    <t>2019 to 2019-2020 anniversary date</t>
  </si>
  <si>
    <t>2020 to 2020-2021 anniversary</t>
  </si>
  <si>
    <t>2020-2021 Anniversary to May 9, 2021</t>
  </si>
  <si>
    <t>2021 to 2021-2022 anniversary</t>
  </si>
  <si>
    <t>2021-2022 Anniversary to May 9, 2022</t>
  </si>
  <si>
    <t>Lump sum retro</t>
  </si>
  <si>
    <t>January</t>
  </si>
  <si>
    <t>February</t>
  </si>
  <si>
    <t>March</t>
  </si>
  <si>
    <t>April</t>
  </si>
  <si>
    <t>May</t>
  </si>
  <si>
    <t>June</t>
  </si>
  <si>
    <t>July</t>
  </si>
  <si>
    <t>August</t>
  </si>
  <si>
    <t>October</t>
  </si>
  <si>
    <t>November</t>
  </si>
  <si>
    <t>December</t>
  </si>
  <si>
    <t>Month</t>
  </si>
  <si>
    <t>SUM of all Salary Retro payments</t>
  </si>
  <si>
    <t>SUM of Lump Sum Retro payments (if applicable)</t>
  </si>
  <si>
    <t>The following calculator provides the estimated retroactive payment a lawyer would receive following the increases awarded in the tentative collective agreement. This calculator provides an estimate of the retroactive pay adjustments that are to apply from the date of the first increase up to May 9, 2022. The Pay Centre will be in a better position to provide you with a detailed account of the calculations for the period between May 9, 2018 and the actual payout date of your retroactive adjustments. It assumes the lawyer is eligible for lockstep increases, where applicable. **</t>
  </si>
  <si>
    <t>Click in the box to the right to select a classification level from the drop-down menu</t>
  </si>
  <si>
    <t>Data Validation for Anniversary Date</t>
  </si>
  <si>
    <t>Day</t>
  </si>
  <si>
    <t>Mois</t>
  </si>
  <si>
    <t>Jour</t>
  </si>
  <si>
    <t>Sélectionner</t>
  </si>
  <si>
    <t>Janvier</t>
  </si>
  <si>
    <t>Février</t>
  </si>
  <si>
    <t>Mars</t>
  </si>
  <si>
    <t>Avril</t>
  </si>
  <si>
    <t>Mai</t>
  </si>
  <si>
    <t>Juin</t>
  </si>
  <si>
    <t>Juillet</t>
  </si>
  <si>
    <t>Août</t>
  </si>
  <si>
    <t>Septembre</t>
  </si>
  <si>
    <t>Octobre</t>
  </si>
  <si>
    <t>Novembre</t>
  </si>
  <si>
    <t>Décembre</t>
  </si>
  <si>
    <t>New Rates from tentative agreement</t>
  </si>
  <si>
    <t>Table used for formulas</t>
  </si>
  <si>
    <t>Salary progression prior to tentative agreement</t>
  </si>
  <si>
    <t>Salary progression of tentative agreement</t>
  </si>
  <si>
    <t>Retro pay formulas</t>
  </si>
  <si>
    <t>* This spreadsheet was prepared by an employee of the AJC, who is neither an accountant nor compensation specialist. The AJC makes no representations, guarantees or warranties regarding the accuracy and reliability of this retroactive pay estimator. This spreadsheet should therefore not be relied upon in any way.   AJC members may use and share this spreadsheet with the caveats enclosed herein. All other rights reserved. All members are advised to consult the Pay Centre or their Trusted Source, as applicable, with any questions regarding the retroactive pay adjustments only after having received  information on their retroactive pay calculations from the employer. 
** Assuming the employee's hire date is prior to May 10, 2018.  This calculator does not take into account any leave without pay or leave with income averaging arrangements.  Accordingly, users may need to prorate retroactive pay adjustments on their own.</t>
  </si>
  <si>
    <t>LP-03_Toronto</t>
  </si>
  <si>
    <t xml:space="preserve"> </t>
  </si>
  <si>
    <t xml:space="preserve">  </t>
  </si>
  <si>
    <t>Anniversary date is more than 6 months after month of May</t>
  </si>
  <si>
    <t>Anniversary date is less than 6 months after month of May</t>
  </si>
  <si>
    <t>LP-01_Except Toronto</t>
  </si>
  <si>
    <t>LP-01_Toronto</t>
  </si>
  <si>
    <t>2018-2019 Anniversary</t>
  </si>
  <si>
    <t>2019-2020 Anniversary</t>
  </si>
  <si>
    <t>2020-2021 Anniversary</t>
  </si>
  <si>
    <t>2021-2022 Anniversary</t>
  </si>
  <si>
    <t>2018-2019 Anniversary to May 9, 2019</t>
  </si>
  <si>
    <t>6 month mark</t>
  </si>
  <si>
    <t>6 month mark to 2018-2019anniversary date</t>
  </si>
  <si>
    <t>May 10, 2019 to 6 month mark</t>
  </si>
  <si>
    <t>6 month mark to 2019-2020 anniversary date</t>
  </si>
  <si>
    <t>May 10, 2018 to 6 month mark</t>
  </si>
  <si>
    <t xml:space="preserve">6 month mark to 2020-2021 anniversary </t>
  </si>
  <si>
    <t xml:space="preserve">6 month mark to 2021-2022 anniversary </t>
  </si>
  <si>
    <t xml:space="preserve">6 month mark 2018-2019 </t>
  </si>
  <si>
    <t xml:space="preserve">6 month mark 2019-2020 </t>
  </si>
  <si>
    <t xml:space="preserve">6 month mark 2020-2021 </t>
  </si>
  <si>
    <t>6 month mark 2021-2022</t>
  </si>
  <si>
    <t>May 10, 2020 to 6 month mark</t>
  </si>
  <si>
    <t>May 10, 2021 to 6 month mark</t>
  </si>
  <si>
    <t>OPTIONAL: To include the retroactive pay for your lump sum performance awards to the estimated total retroactive payment (where applicable), enter the PREA percentage rate for the applicable fiscal years</t>
  </si>
  <si>
    <t>May 10, 2018 to Anniversary</t>
  </si>
  <si>
    <t>2018-2019anniversary date to 6 month mark</t>
  </si>
  <si>
    <t>6 month mark to May 9, 2019</t>
  </si>
  <si>
    <t>May 10, 2019 to 2019-2020 anniversary date</t>
  </si>
  <si>
    <t>2019-2020 anniversary date to 6 month mark</t>
  </si>
  <si>
    <t>6 month mark to May 9, 2020</t>
  </si>
  <si>
    <t xml:space="preserve">May 10, 2020 to 2020-2021 anniversary </t>
  </si>
  <si>
    <t>2020-2021 anniversary to 6 month mark</t>
  </si>
  <si>
    <t>6 month mark to May 9, 2021</t>
  </si>
  <si>
    <t xml:space="preserve">May 10, 2021 to 2021-2022 anniversary </t>
  </si>
  <si>
    <t>2021-2022 anniversary to 6 month mark</t>
  </si>
  <si>
    <t>6 month mark to May 9, 2022</t>
  </si>
  <si>
    <t>For retro calculator</t>
  </si>
  <si>
    <t>For Pay calculator</t>
  </si>
  <si>
    <t>New Rates Pay TABLE from arbitral award</t>
  </si>
  <si>
    <t>2% salary increase and 0.8% Wage adjustment
(compounded)</t>
  </si>
  <si>
    <t>2% salary increase and 0.2% Wage adjustment
(compounded)</t>
  </si>
  <si>
    <t>Anniversary date</t>
  </si>
  <si>
    <t>LP-02 (LA-2A) - SALARY PROGRESSION*</t>
  </si>
  <si>
    <t>LP-02_All of Canada except Toronto</t>
  </si>
  <si>
    <t>LP-03_All of Canada except Toronto</t>
  </si>
  <si>
    <t>Locksteps prior to tentative collective agreement:</t>
  </si>
  <si>
    <t>LP-02 (LA-2A) and LP-03 (LA-2B)- RETRO PAY CALCULATOR*</t>
  </si>
  <si>
    <t>LP-04 (LA-3A) &amp; LP-05 (LA-3B) - RETRO PAY CALCULATOR*</t>
  </si>
  <si>
    <t>From</t>
  </si>
  <si>
    <t>to</t>
  </si>
  <si>
    <t>In-Range Percentage Rate</t>
  </si>
  <si>
    <t>At-Risk Pay and Bonuses</t>
  </si>
  <si>
    <t>LP-04 (LA-3A) &amp; LP-05 (LA-3B) - SALARY PROGRESSION*</t>
  </si>
  <si>
    <t>Semi-annual performance</t>
  </si>
  <si>
    <t>LP-01 (LA-01) - SALARY PROGRESSION*</t>
  </si>
  <si>
    <t>LP-01 (LA-01) - RETRO PAY CALCULATOR*</t>
  </si>
  <si>
    <t>Range</t>
  </si>
  <si>
    <t>To:</t>
  </si>
  <si>
    <t>LP-04_Toronto</t>
  </si>
  <si>
    <t>LP-05_Toronto</t>
  </si>
  <si>
    <t>LP-04_All of Canada except Toronto</t>
  </si>
  <si>
    <t>LP-05_All of Canada except Toronto</t>
  </si>
  <si>
    <t>Salary Range prior to tentative collective agreement:</t>
  </si>
  <si>
    <t>At-risk pay and bonus</t>
  </si>
  <si>
    <t>Lump Sum Retro payment (if applicable)</t>
  </si>
  <si>
    <t>2018 Anniversary</t>
  </si>
  <si>
    <t>2019 Anniversary</t>
  </si>
  <si>
    <t>2020 Anniversary</t>
  </si>
  <si>
    <t>2021 Anniversary</t>
  </si>
  <si>
    <t>LP-01 (LA-01) - CALCULE DU PAIEMENT RÉTROACTIF*</t>
  </si>
  <si>
    <t>LP-01_Tout le Canada sauf Toronto</t>
  </si>
  <si>
    <t>Taux  de rémunération annuel avant la convention collective provisoire:</t>
  </si>
  <si>
    <t>Sélectionner votre salaire à l'expiration de la dernière convention collective (9 mai 2018). NE PAS INCLURE votre augmentation d'évaluation de rendement annuelle pour l'année fiscale 2017-2018, si applicable</t>
  </si>
  <si>
    <t>Sélectionner votre date d'anniversaire. Ceci est la date de votre dernière nomination ou promotion**</t>
  </si>
  <si>
    <t>MOIS:</t>
  </si>
  <si>
    <t>JOUR:</t>
  </si>
  <si>
    <t xml:space="preserve">OPTIONNEL: Si vous voulez inclure les primes de rendement au calcule rétroactif, entrer le pourcentage pour les années  applicable. </t>
  </si>
  <si>
    <t>Paiement rétroactif approximatif*</t>
  </si>
  <si>
    <t>LP-01 (LA-01) - PROGRESSION SALARIALE*</t>
  </si>
  <si>
    <t>2% augmentation de salaire et 0.8% rajustement de salaire
(composé)</t>
  </si>
  <si>
    <t>2% augmentation de salaire et 0.2% rajustement de salaire
(composé)</t>
  </si>
  <si>
    <t>1.5% augmentation de salaire</t>
  </si>
  <si>
    <t>Fin de la convention collective</t>
  </si>
  <si>
    <t>* Un employé de l’AJJ a préparé ce chiffrier – il n’est ni comptable ni spécialiste en rémunération. L’AJJ n’offre aucune garantie expresse ou implicite quant à l’exactitude et la fiabilité de cet outil visant à approximer le montant de la rétroactivité. Il ne faut donc pas se fier entièrement ou uniquement au chiffrier. Les membres de l’AJJ peuvent s’en servir et le partager avec d’autres en tenant compte des réserves précitées. Tous droits autres réservés. Nous conseillons aux membres de consulter le Centre de la paye ou leur source fiable, selon, pour toute question liée aux rajustements rétroactifs à la rémunération après avoir reçu de l’employeur les calculs propres à leur rémunération rétroactive.
** Étant entendu que l’employé est entré en fonctions avant le 10 mai 2018.  Ce calculateur ne tient pas compte des congés non payés ou des congés avec étalement du revenu. Par conséquent, l’utilisateur aura peut-être à établir, par lui-même, les rajustements à la rémunération, au prorata.</t>
  </si>
  <si>
    <t>Rendement semestriel</t>
  </si>
  <si>
    <t>Date du paiement rétroactif hypothétique (ex.: 180 jours du 15 septembre 2019 nous emportent au 15 mars 2020)</t>
  </si>
  <si>
    <t>Estimated Retroactive Payment*</t>
  </si>
  <si>
    <t>Date d'anniversaire</t>
  </si>
  <si>
    <t>Année</t>
  </si>
  <si>
    <t>RETRO PAY CALCULATOR</t>
  </si>
  <si>
    <t>Select a classification level below</t>
  </si>
  <si>
    <t>LP-01</t>
  </si>
  <si>
    <t>LP-02</t>
  </si>
  <si>
    <t>LP-03</t>
  </si>
  <si>
    <t>LP-04</t>
  </si>
  <si>
    <t>LP-05</t>
  </si>
  <si>
    <t>(LA-01)</t>
  </si>
  <si>
    <t>(LA-2A)</t>
  </si>
  <si>
    <t>(LA-2B)</t>
  </si>
  <si>
    <t>(LA-3A)</t>
  </si>
  <si>
    <t>(LA-3B)</t>
  </si>
  <si>
    <t>Ce calculateur sert à établir le montant approximatif du paiement rétroactif auquel un juriste aurait droit à la suite des augmentations consenties aux termes du projet de convention collective. Ce calculateur approxime la rétroactivité salariale à compter de la première augmentation jusqu'au 9 mai 2022. Le Centre de paye sera mieux à même de vous fournir le détail des calculs pour la période allant du 9 mai 2018 jusqu'à la date de règlement de ces rajustements rétroactifs. Pour ceux qui utilisent les feuilles de calcul en français, veuillez utiliser le point (.) comme séparateur décimal et pas la virgule (,). Il est entendu que le juriste est admissible à des augmentations à échelons fixes, le cas échéant. **</t>
  </si>
  <si>
    <t xml:space="preserve">Select your salary paid at the expiry of the last collective agreement (May 9, 2018) in the box to the right*. DO NOT INCLUDE PREA lockstep increment for fiscal year 2017-2018 </t>
  </si>
  <si>
    <t>LP-01_All of Canada except Toronto</t>
  </si>
  <si>
    <t>Cliquer sur la boite à la droite pour choisir un niveau de classification dans le menu déroulant</t>
  </si>
  <si>
    <t>Date on which your  salary was adjusted to the new collective agreement rate (if this has not yet happened, enter a hypothetical date for the retroactive payment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</si>
</sst>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F800]dddd\,\ mmmm\ dd\,\ yyyy"/>
    <numFmt numFmtId="165" formatCode="_-&quot;$&quot;* #,##0_-;\-&quot;$&quot;* #,##0_-;_-&quot;$&quot;* &quot;-&quot;??_-;_-@_-"/>
    <numFmt numFmtId="166" formatCode="0.0%"/>
    <numFmt numFmtId="167" formatCode="[$-1009]d\-mmm\-yy;@"/>
    <numFmt numFmtId="168" formatCode="&quot;$&quot;#,##0.00"/>
    <numFmt numFmtId="169" formatCode="0.000"/>
    <numFmt numFmtId="170" formatCode="[$-1009]mmmm\ d\,\ yyyy;@"/>
    <numFmt numFmtId="171" formatCode="[$-C0C]d\ mmm\ yyyy;@"/>
  </numFmts>
  <fonts count="66" x14ac:knownFonts="1">
    <font>
      <sz val="11"/>
      <color theme="1"/>
      <name val="Calibri"/>
      <family val="2"/>
      <scheme val="minor"/>
    </font>
    <font>
      <sz val="11"/>
      <color theme="1"/>
      <name val="Calibri"/>
      <family val="2"/>
      <scheme val="minor"/>
    </font>
    <font>
      <sz val="11"/>
      <color rgb="FF3F3F76"/>
      <name val="Calibri"/>
      <family val="2"/>
      <scheme val="minor"/>
    </font>
    <font>
      <sz val="11"/>
      <color theme="0"/>
      <name val="Calibri"/>
      <family val="2"/>
      <scheme val="minor"/>
    </font>
    <font>
      <sz val="10"/>
      <name val="Arial"/>
      <family val="2"/>
    </font>
    <font>
      <b/>
      <sz val="16"/>
      <color theme="0"/>
      <name val="Calibri Light"/>
      <family val="1"/>
      <scheme val="major"/>
    </font>
    <font>
      <b/>
      <sz val="10"/>
      <name val="Calibri Light"/>
      <family val="1"/>
      <scheme val="major"/>
    </font>
    <font>
      <b/>
      <sz val="20"/>
      <color theme="0"/>
      <name val="Calibri Light"/>
      <family val="1"/>
      <scheme val="major"/>
    </font>
    <font>
      <b/>
      <sz val="11"/>
      <color rgb="FF3F3F76"/>
      <name val="Cambria"/>
      <family val="1"/>
    </font>
    <font>
      <sz val="11"/>
      <name val="Calibri Light"/>
      <family val="1"/>
      <scheme val="major"/>
    </font>
    <font>
      <sz val="11"/>
      <color theme="1"/>
      <name val="Cambria"/>
      <family val="1"/>
    </font>
    <font>
      <b/>
      <sz val="24"/>
      <color theme="0"/>
      <name val="Cambria"/>
      <family val="1"/>
    </font>
    <font>
      <b/>
      <sz val="10"/>
      <name val="Cambria"/>
      <family val="1"/>
    </font>
    <font>
      <b/>
      <sz val="20"/>
      <color theme="0"/>
      <name val="Cambria"/>
      <family val="1"/>
    </font>
    <font>
      <b/>
      <sz val="10"/>
      <color indexed="8"/>
      <name val="Cambria"/>
      <family val="1"/>
    </font>
    <font>
      <b/>
      <sz val="18"/>
      <name val="Cambria"/>
      <family val="1"/>
    </font>
    <font>
      <sz val="11"/>
      <name val="Cambria"/>
      <family val="1"/>
    </font>
    <font>
      <b/>
      <sz val="18"/>
      <color theme="0"/>
      <name val="Cambria"/>
      <family val="1"/>
    </font>
    <font>
      <b/>
      <sz val="22"/>
      <name val="Cambria"/>
      <family val="1"/>
    </font>
    <font>
      <b/>
      <sz val="12"/>
      <name val="Cambria"/>
      <family val="1"/>
    </font>
    <font>
      <sz val="12"/>
      <name val="Cambria"/>
      <family val="1"/>
    </font>
    <font>
      <sz val="10"/>
      <name val="Cambria"/>
      <family val="1"/>
    </font>
    <font>
      <b/>
      <sz val="11"/>
      <name val="Cambria"/>
      <family val="1"/>
    </font>
    <font>
      <sz val="11"/>
      <color theme="0"/>
      <name val="Cambria"/>
      <family val="1"/>
    </font>
    <font>
      <b/>
      <sz val="9"/>
      <color theme="1"/>
      <name val="Cambria"/>
      <family val="1"/>
    </font>
    <font>
      <b/>
      <sz val="10"/>
      <color rgb="FF3F3F76"/>
      <name val="Cambria"/>
      <family val="1"/>
    </font>
    <font>
      <sz val="10"/>
      <color theme="1"/>
      <name val="Cambria"/>
      <family val="1"/>
    </font>
    <font>
      <b/>
      <sz val="10"/>
      <color theme="1"/>
      <name val="Cambria"/>
      <family val="1"/>
    </font>
    <font>
      <b/>
      <sz val="16"/>
      <name val="Cambria"/>
      <family val="1"/>
    </font>
    <font>
      <b/>
      <sz val="14"/>
      <name val="Cambria"/>
      <family val="1"/>
    </font>
    <font>
      <sz val="10"/>
      <color theme="4" tint="0.79998168889431442"/>
      <name val="Cambria"/>
      <family val="1"/>
    </font>
    <font>
      <sz val="14"/>
      <color theme="1"/>
      <name val="Cambria"/>
      <family val="1"/>
    </font>
    <font>
      <sz val="14"/>
      <name val="Cambria"/>
      <family val="1"/>
    </font>
    <font>
      <sz val="16"/>
      <color theme="1"/>
      <name val="Cambria"/>
      <family val="1"/>
    </font>
    <font>
      <sz val="16"/>
      <name val="Cambria"/>
      <family val="1"/>
    </font>
    <font>
      <b/>
      <sz val="14"/>
      <color theme="0"/>
      <name val="Cambria"/>
      <family val="1"/>
    </font>
    <font>
      <sz val="14"/>
      <color theme="0"/>
      <name val="Cambria"/>
      <family val="1"/>
    </font>
    <font>
      <b/>
      <sz val="9"/>
      <color rgb="FF3F3F76"/>
      <name val="Cambria"/>
      <family val="1"/>
    </font>
    <font>
      <u/>
      <sz val="11"/>
      <color theme="10"/>
      <name val="Calibri"/>
      <family val="2"/>
      <scheme val="minor"/>
    </font>
    <font>
      <b/>
      <sz val="9"/>
      <color theme="0"/>
      <name val="Calibri Light"/>
      <family val="1"/>
      <scheme val="major"/>
    </font>
    <font>
      <b/>
      <sz val="20"/>
      <color theme="0"/>
      <name val="Calibri"/>
      <family val="2"/>
      <scheme val="minor"/>
    </font>
    <font>
      <b/>
      <sz val="16"/>
      <color theme="0"/>
      <name val="Calibri"/>
      <family val="2"/>
      <scheme val="minor"/>
    </font>
    <font>
      <sz val="11"/>
      <color theme="0"/>
      <name val="Calibri Light"/>
      <family val="1"/>
      <scheme val="major"/>
    </font>
    <font>
      <b/>
      <sz val="22"/>
      <color theme="0"/>
      <name val="Calibri"/>
      <family val="2"/>
      <scheme val="minor"/>
    </font>
    <font>
      <sz val="12"/>
      <color theme="0"/>
      <name val="Calibri Light"/>
      <family val="1"/>
      <scheme val="major"/>
    </font>
    <font>
      <b/>
      <sz val="10"/>
      <color theme="0"/>
      <name val="Calibri Light"/>
      <family val="1"/>
      <scheme val="major"/>
    </font>
    <font>
      <b/>
      <sz val="11"/>
      <color theme="0"/>
      <name val="Calibri Light"/>
      <family val="1"/>
      <scheme val="major"/>
    </font>
    <font>
      <sz val="10"/>
      <color theme="0"/>
      <name val="Calibri Light"/>
      <family val="1"/>
      <scheme val="major"/>
    </font>
    <font>
      <sz val="10"/>
      <color theme="0"/>
      <name val="Calibri"/>
      <family val="2"/>
      <scheme val="minor"/>
    </font>
    <font>
      <b/>
      <sz val="11"/>
      <color theme="0"/>
      <name val="Cambria"/>
      <family val="1"/>
    </font>
    <font>
      <sz val="9"/>
      <color theme="0"/>
      <name val="Calibri"/>
      <family val="2"/>
      <scheme val="minor"/>
    </font>
    <font>
      <b/>
      <sz val="10"/>
      <color theme="0"/>
      <name val="Arial"/>
      <family val="2"/>
    </font>
    <font>
      <sz val="10"/>
      <color theme="0"/>
      <name val="Arial"/>
      <family val="2"/>
    </font>
    <font>
      <sz val="10"/>
      <color theme="0"/>
      <name val="Cambria"/>
      <family val="1"/>
    </font>
    <font>
      <sz val="9"/>
      <color theme="0"/>
      <name val="Cambria"/>
      <family val="1"/>
    </font>
    <font>
      <b/>
      <sz val="10"/>
      <color theme="0"/>
      <name val="Cambria"/>
      <family val="1"/>
    </font>
    <font>
      <b/>
      <sz val="10"/>
      <color theme="0" tint="-4.9989318521683403E-2"/>
      <name val="Cambria"/>
      <family val="1"/>
    </font>
    <font>
      <sz val="10"/>
      <color theme="0" tint="-4.9989318521683403E-2"/>
      <name val="Cambria"/>
      <family val="1"/>
    </font>
    <font>
      <b/>
      <sz val="8"/>
      <color theme="0"/>
      <name val="Cambria"/>
      <family val="1"/>
    </font>
    <font>
      <sz val="8"/>
      <color theme="0"/>
      <name val="Cambria"/>
      <family val="1"/>
    </font>
    <font>
      <b/>
      <sz val="16"/>
      <name val="Calibri Light"/>
      <family val="1"/>
      <scheme val="major"/>
    </font>
    <font>
      <sz val="16"/>
      <color theme="1"/>
      <name val="Calibri"/>
      <family val="2"/>
      <scheme val="minor"/>
    </font>
    <font>
      <u/>
      <sz val="16"/>
      <color theme="10"/>
      <name val="Calibri"/>
      <family val="2"/>
      <scheme val="minor"/>
    </font>
    <font>
      <sz val="8"/>
      <color theme="0"/>
      <name val="Calibri"/>
      <family val="2"/>
      <scheme val="minor"/>
    </font>
    <font>
      <sz val="8"/>
      <color theme="0"/>
      <name val="Calibri Light"/>
      <family val="1"/>
      <scheme val="major"/>
    </font>
    <font>
      <b/>
      <sz val="8"/>
      <color rgb="FF3F3F76"/>
      <name val="Cambria"/>
      <family val="1"/>
    </font>
  </fonts>
  <fills count="17">
    <fill>
      <patternFill patternType="none"/>
    </fill>
    <fill>
      <patternFill patternType="gray125"/>
    </fill>
    <fill>
      <patternFill patternType="solid">
        <fgColor rgb="FFFFCC99"/>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249977111117893"/>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rgb="FFFFFFFF"/>
      </patternFill>
    </fill>
  </fills>
  <borders count="43">
    <border>
      <left/>
      <right/>
      <top/>
      <bottom/>
      <diagonal/>
    </border>
    <border>
      <left style="thin">
        <color rgb="FF7F7F7F"/>
      </left>
      <right style="thin">
        <color rgb="FF7F7F7F"/>
      </right>
      <top style="thin">
        <color rgb="FF7F7F7F"/>
      </top>
      <bottom style="thin">
        <color rgb="FF7F7F7F"/>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indexed="64"/>
      </top>
      <bottom/>
      <diagonal/>
    </border>
    <border>
      <left/>
      <right style="thin">
        <color rgb="FF7F7F7F"/>
      </right>
      <top style="double">
        <color indexed="64"/>
      </top>
      <bottom/>
      <diagonal/>
    </border>
    <border>
      <left style="thin">
        <color rgb="FF7F7F7F"/>
      </left>
      <right/>
      <top style="double">
        <color auto="1"/>
      </top>
      <bottom style="thin">
        <color rgb="FF7F7F7F"/>
      </bottom>
      <diagonal/>
    </border>
    <border>
      <left/>
      <right style="thin">
        <color rgb="FF7F7F7F"/>
      </right>
      <top style="double">
        <color auto="1"/>
      </top>
      <bottom style="thin">
        <color rgb="FF7F7F7F"/>
      </bottom>
      <diagonal/>
    </border>
    <border>
      <left style="thin">
        <color rgb="FF7F7F7F"/>
      </left>
      <right style="double">
        <color auto="1"/>
      </right>
      <top style="double">
        <color auto="1"/>
      </top>
      <bottom style="thin">
        <color rgb="FF7F7F7F"/>
      </bottom>
      <diagonal/>
    </border>
    <border>
      <left style="double">
        <color auto="1"/>
      </left>
      <right/>
      <top/>
      <bottom style="double">
        <color auto="1"/>
      </bottom>
      <diagonal/>
    </border>
    <border>
      <left/>
      <right/>
      <top/>
      <bottom style="double">
        <color indexed="64"/>
      </bottom>
      <diagonal/>
    </border>
    <border>
      <left/>
      <right style="thin">
        <color rgb="FF7F7F7F"/>
      </right>
      <top/>
      <bottom style="double">
        <color indexed="64"/>
      </bottom>
      <diagonal/>
    </border>
    <border>
      <left style="thin">
        <color rgb="FF7F7F7F"/>
      </left>
      <right/>
      <top style="thin">
        <color rgb="FF7F7F7F"/>
      </top>
      <bottom style="double">
        <color auto="1"/>
      </bottom>
      <diagonal/>
    </border>
    <border>
      <left/>
      <right style="thin">
        <color rgb="FF7F7F7F"/>
      </right>
      <top style="thin">
        <color rgb="FF7F7F7F"/>
      </top>
      <bottom style="double">
        <color auto="1"/>
      </bottom>
      <diagonal/>
    </border>
    <border>
      <left style="thin">
        <color rgb="FF7F7F7F"/>
      </left>
      <right style="double">
        <color auto="1"/>
      </right>
      <top style="thin">
        <color rgb="FF7F7F7F"/>
      </top>
      <bottom style="double">
        <color auto="1"/>
      </bottom>
      <diagonal/>
    </border>
    <border>
      <left style="thin">
        <color rgb="FF7F7F7F"/>
      </left>
      <right style="thin">
        <color rgb="FF7F7F7F"/>
      </right>
      <top style="double">
        <color rgb="FF7F7F7F"/>
      </top>
      <bottom style="thin">
        <color rgb="FF7F7F7F"/>
      </bottom>
      <diagonal/>
    </border>
    <border>
      <left style="thin">
        <color rgb="FF7F7F7F"/>
      </left>
      <right style="double">
        <color rgb="FF7F7F7F"/>
      </right>
      <top style="double">
        <color rgb="FF7F7F7F"/>
      </top>
      <bottom style="thin">
        <color rgb="FF7F7F7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indexed="64"/>
      </left>
      <right style="double">
        <color auto="1"/>
      </right>
      <top style="double">
        <color indexed="64"/>
      </top>
      <bottom style="double">
        <color auto="1"/>
      </bottom>
      <diagonal/>
    </border>
    <border>
      <left style="double">
        <color theme="0"/>
      </left>
      <right style="double">
        <color theme="0"/>
      </right>
      <top style="double">
        <color theme="0"/>
      </top>
      <bottom style="double">
        <color theme="0"/>
      </bottom>
      <diagonal/>
    </border>
    <border>
      <left/>
      <right style="thick">
        <color indexed="64"/>
      </right>
      <top style="medium">
        <color indexed="64"/>
      </top>
      <bottom style="medium">
        <color indexed="64"/>
      </bottom>
      <diagonal/>
    </border>
    <border>
      <left/>
      <right style="double">
        <color theme="0"/>
      </right>
      <top/>
      <bottom/>
      <diagonal/>
    </border>
    <border>
      <left style="thin">
        <color indexed="64"/>
      </left>
      <right/>
      <top style="double">
        <color indexed="64"/>
      </top>
      <bottom style="double">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double">
        <color rgb="FF7F7F7F"/>
      </top>
      <bottom style="thin">
        <color rgb="FF7F7F7F"/>
      </bottom>
      <diagonal/>
    </border>
    <border>
      <left/>
      <right style="thin">
        <color rgb="FF7F7F7F"/>
      </right>
      <top style="double">
        <color rgb="FF7F7F7F"/>
      </top>
      <bottom style="thin">
        <color rgb="FF7F7F7F"/>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theme="1"/>
      </left>
      <right style="double">
        <color theme="1"/>
      </right>
      <top style="double">
        <color theme="1"/>
      </top>
      <bottom style="double">
        <color theme="1"/>
      </bottom>
      <diagonal/>
    </border>
    <border>
      <left style="double">
        <color auto="1"/>
      </left>
      <right style="double">
        <color auto="1"/>
      </right>
      <top style="double">
        <color auto="1"/>
      </top>
      <bottom style="double">
        <color auto="1"/>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4" fillId="0" borderId="0"/>
    <xf numFmtId="0" fontId="4" fillId="0" borderId="0"/>
    <xf numFmtId="0" fontId="38" fillId="0" borderId="0" applyNumberFormat="0" applyFill="0" applyBorder="0" applyAlignment="0" applyProtection="0"/>
  </cellStyleXfs>
  <cellXfs count="403">
    <xf numFmtId="0" fontId="0" fillId="0" borderId="0" xfId="0"/>
    <xf numFmtId="165" fontId="17" fillId="6" borderId="0" xfId="3" applyNumberFormat="1" applyFont="1" applyFill="1" applyBorder="1" applyAlignment="1" applyProtection="1">
      <alignment horizontal="center" wrapText="1"/>
      <protection hidden="1"/>
    </xf>
    <xf numFmtId="164" fontId="15" fillId="9" borderId="0" xfId="0" applyNumberFormat="1" applyFont="1" applyFill="1" applyBorder="1" applyAlignment="1" applyProtection="1">
      <alignment horizontal="center"/>
      <protection hidden="1"/>
    </xf>
    <xf numFmtId="0" fontId="18" fillId="9" borderId="0" xfId="0" applyFont="1" applyFill="1" applyBorder="1" applyAlignment="1" applyProtection="1">
      <alignment horizontal="center"/>
      <protection hidden="1"/>
    </xf>
    <xf numFmtId="0" fontId="18" fillId="8" borderId="6" xfId="0" applyFont="1" applyFill="1" applyBorder="1" applyAlignment="1" applyProtection="1">
      <alignment horizontal="center"/>
      <protection hidden="1"/>
    </xf>
    <xf numFmtId="0" fontId="16" fillId="14" borderId="0" xfId="0" applyFont="1" applyFill="1" applyBorder="1" applyProtection="1">
      <protection hidden="1"/>
    </xf>
    <xf numFmtId="165" fontId="20" fillId="14" borderId="0" xfId="5" applyNumberFormat="1" applyFont="1" applyFill="1" applyBorder="1" applyProtection="1">
      <protection hidden="1"/>
    </xf>
    <xf numFmtId="15" fontId="16" fillId="8" borderId="6" xfId="4" applyNumberFormat="1" applyFont="1" applyFill="1" applyBorder="1" applyAlignment="1" applyProtection="1">
      <alignment vertical="center" wrapText="1"/>
      <protection hidden="1"/>
    </xf>
    <xf numFmtId="0" fontId="16" fillId="0" borderId="0" xfId="0" applyFont="1" applyFill="1" applyBorder="1" applyProtection="1">
      <protection hidden="1"/>
    </xf>
    <xf numFmtId="165" fontId="20" fillId="0" borderId="0" xfId="5" applyNumberFormat="1" applyFont="1" applyFill="1" applyBorder="1" applyProtection="1">
      <protection hidden="1"/>
    </xf>
    <xf numFmtId="0" fontId="16" fillId="14" borderId="0" xfId="4" applyFont="1" applyFill="1" applyBorder="1" applyAlignment="1" applyProtection="1">
      <alignment vertical="center" wrapText="1"/>
      <protection hidden="1"/>
    </xf>
    <xf numFmtId="165" fontId="16" fillId="14" borderId="0" xfId="5" applyNumberFormat="1" applyFont="1" applyFill="1" applyBorder="1" applyAlignment="1" applyProtection="1">
      <alignment vertical="center" wrapText="1"/>
      <protection hidden="1"/>
    </xf>
    <xf numFmtId="0" fontId="16" fillId="0" borderId="0" xfId="4" applyFont="1" applyFill="1" applyBorder="1" applyAlignment="1" applyProtection="1">
      <alignment vertical="center" wrapText="1"/>
      <protection hidden="1"/>
    </xf>
    <xf numFmtId="165" fontId="16" fillId="0" borderId="0" xfId="5" applyNumberFormat="1" applyFont="1" applyFill="1" applyBorder="1" applyAlignment="1" applyProtection="1">
      <alignment vertical="center" wrapText="1"/>
      <protection hidden="1"/>
    </xf>
    <xf numFmtId="166" fontId="16" fillId="0" borderId="0" xfId="6" applyNumberFormat="1" applyFont="1" applyFill="1" applyBorder="1" applyAlignment="1" applyProtection="1">
      <alignment horizontal="right"/>
      <protection hidden="1"/>
    </xf>
    <xf numFmtId="0" fontId="16" fillId="0" borderId="0" xfId="6" applyFont="1" applyFill="1" applyBorder="1" applyAlignment="1" applyProtection="1">
      <alignment horizontal="right"/>
      <protection hidden="1"/>
    </xf>
    <xf numFmtId="0" fontId="16" fillId="14" borderId="0" xfId="4" applyFont="1" applyFill="1" applyBorder="1" applyAlignment="1" applyProtection="1">
      <alignment vertical="top" wrapText="1"/>
      <protection hidden="1"/>
    </xf>
    <xf numFmtId="165" fontId="21" fillId="14" borderId="0" xfId="5" applyNumberFormat="1" applyFont="1" applyFill="1" applyBorder="1" applyAlignment="1" applyProtection="1">
      <alignment wrapText="1"/>
      <protection hidden="1"/>
    </xf>
    <xf numFmtId="0" fontId="16" fillId="0" borderId="0" xfId="4" applyFont="1" applyFill="1" applyBorder="1" applyAlignment="1" applyProtection="1">
      <alignment vertical="top" wrapText="1"/>
      <protection hidden="1"/>
    </xf>
    <xf numFmtId="165" fontId="21" fillId="0" borderId="0" xfId="5" applyNumberFormat="1" applyFont="1" applyFill="1" applyBorder="1" applyAlignment="1" applyProtection="1">
      <alignment wrapText="1"/>
      <protection hidden="1"/>
    </xf>
    <xf numFmtId="166" fontId="16" fillId="14" borderId="0" xfId="2" applyNumberFormat="1" applyFont="1" applyFill="1" applyBorder="1" applyAlignment="1" applyProtection="1">
      <alignment vertical="center" wrapText="1"/>
      <protection hidden="1"/>
    </xf>
    <xf numFmtId="166" fontId="16" fillId="0" borderId="0" xfId="2" applyNumberFormat="1" applyFont="1" applyFill="1" applyBorder="1" applyAlignment="1" applyProtection="1">
      <alignment vertical="center" wrapText="1"/>
      <protection hidden="1"/>
    </xf>
    <xf numFmtId="15" fontId="16" fillId="0" borderId="0" xfId="4" applyNumberFormat="1" applyFont="1" applyFill="1" applyBorder="1" applyAlignment="1" applyProtection="1">
      <alignment vertical="center"/>
      <protection hidden="1"/>
    </xf>
    <xf numFmtId="0" fontId="16" fillId="0" borderId="0" xfId="4" applyFont="1" applyFill="1" applyBorder="1" applyAlignment="1" applyProtection="1">
      <alignment vertical="center"/>
      <protection hidden="1"/>
    </xf>
    <xf numFmtId="165" fontId="16" fillId="14" borderId="0" xfId="5" applyNumberFormat="1" applyFont="1" applyFill="1" applyBorder="1" applyAlignment="1" applyProtection="1">
      <protection hidden="1"/>
    </xf>
    <xf numFmtId="0" fontId="16" fillId="8" borderId="6" xfId="0" applyFont="1" applyFill="1" applyBorder="1" applyProtection="1">
      <protection hidden="1"/>
    </xf>
    <xf numFmtId="0" fontId="21" fillId="0" borderId="0" xfId="5" applyNumberFormat="1" applyFont="1" applyFill="1" applyBorder="1" applyAlignment="1" applyProtection="1">
      <alignment wrapText="1"/>
      <protection hidden="1"/>
    </xf>
    <xf numFmtId="0" fontId="16" fillId="0" borderId="0" xfId="0" applyNumberFormat="1" applyFont="1" applyFill="1" applyBorder="1" applyAlignment="1" applyProtection="1">
      <alignment wrapText="1"/>
      <protection hidden="1"/>
    </xf>
    <xf numFmtId="165" fontId="16" fillId="0" borderId="0" xfId="5" applyNumberFormat="1" applyFont="1" applyFill="1" applyBorder="1" applyAlignment="1" applyProtection="1">
      <protection hidden="1"/>
    </xf>
    <xf numFmtId="0" fontId="16" fillId="0" borderId="0" xfId="4" applyNumberFormat="1" applyFont="1" applyFill="1" applyBorder="1" applyAlignment="1" applyProtection="1">
      <alignment vertical="center" wrapText="1"/>
      <protection hidden="1"/>
    </xf>
    <xf numFmtId="15" fontId="16" fillId="14" borderId="0" xfId="4" applyNumberFormat="1" applyFont="1" applyFill="1" applyBorder="1" applyAlignment="1" applyProtection="1">
      <alignment horizontal="center" vertical="center"/>
      <protection hidden="1"/>
    </xf>
    <xf numFmtId="0" fontId="16" fillId="14" borderId="0" xfId="4" applyFont="1" applyFill="1" applyBorder="1" applyAlignment="1" applyProtection="1">
      <alignment horizontal="right" vertical="center" wrapText="1"/>
      <protection hidden="1"/>
    </xf>
    <xf numFmtId="0" fontId="23" fillId="3" borderId="0" xfId="4" applyFont="1" applyBorder="1" applyAlignment="1" applyProtection="1">
      <alignment vertical="top" wrapText="1"/>
      <protection hidden="1"/>
    </xf>
    <xf numFmtId="0" fontId="23" fillId="8" borderId="6" xfId="4" applyFont="1" applyFill="1" applyBorder="1" applyAlignment="1" applyProtection="1">
      <alignment vertical="top" wrapText="1"/>
      <protection hidden="1"/>
    </xf>
    <xf numFmtId="2" fontId="16" fillId="0" borderId="0" xfId="0" applyNumberFormat="1" applyFont="1" applyFill="1" applyBorder="1" applyProtection="1">
      <protection hidden="1"/>
    </xf>
    <xf numFmtId="0" fontId="26" fillId="14" borderId="11" xfId="0" applyFont="1" applyFill="1" applyBorder="1" applyProtection="1">
      <protection hidden="1"/>
    </xf>
    <xf numFmtId="165" fontId="25" fillId="10" borderId="29" xfId="3" applyNumberFormat="1" applyFont="1" applyFill="1" applyBorder="1" applyAlignment="1" applyProtection="1">
      <alignment horizontal="center" wrapText="1"/>
      <protection locked="0"/>
    </xf>
    <xf numFmtId="0" fontId="25" fillId="10" borderId="17" xfId="3" applyFont="1" applyFill="1" applyBorder="1" applyAlignment="1" applyProtection="1">
      <alignment horizontal="center" wrapText="1"/>
      <protection locked="0"/>
    </xf>
    <xf numFmtId="0" fontId="25" fillId="10" borderId="23" xfId="3" applyFont="1" applyFill="1" applyBorder="1" applyAlignment="1" applyProtection="1">
      <alignment horizontal="center" wrapText="1"/>
      <protection locked="0"/>
    </xf>
    <xf numFmtId="166" fontId="25" fillId="10" borderId="25" xfId="2" applyNumberFormat="1" applyFont="1" applyFill="1" applyBorder="1" applyAlignment="1" applyProtection="1">
      <alignment horizontal="center"/>
      <protection locked="0"/>
    </xf>
    <xf numFmtId="0" fontId="26" fillId="14" borderId="0" xfId="0" applyFont="1" applyFill="1" applyBorder="1" applyProtection="1">
      <protection hidden="1"/>
    </xf>
    <xf numFmtId="165" fontId="28" fillId="12" borderId="30" xfId="3" applyNumberFormat="1" applyFont="1" applyFill="1" applyBorder="1" applyAlignment="1" applyProtection="1">
      <alignment horizontal="center" wrapText="1"/>
      <protection hidden="1"/>
    </xf>
    <xf numFmtId="0" fontId="29" fillId="8" borderId="0" xfId="0" applyFont="1" applyFill="1" applyBorder="1" applyAlignment="1" applyProtection="1">
      <alignment horizontal="center"/>
      <protection hidden="1"/>
    </xf>
    <xf numFmtId="15" fontId="32" fillId="8" borderId="0" xfId="4" applyNumberFormat="1" applyFont="1" applyFill="1" applyBorder="1" applyAlignment="1" applyProtection="1">
      <alignment vertical="center" wrapText="1"/>
      <protection hidden="1"/>
    </xf>
    <xf numFmtId="0" fontId="32" fillId="8" borderId="0" xfId="0" applyFont="1" applyFill="1" applyBorder="1" applyProtection="1">
      <protection hidden="1"/>
    </xf>
    <xf numFmtId="0" fontId="36" fillId="8" borderId="5" xfId="4" applyFont="1" applyFill="1" applyBorder="1" applyAlignment="1" applyProtection="1">
      <alignment vertical="top" wrapText="1"/>
      <protection hidden="1"/>
    </xf>
    <xf numFmtId="15" fontId="16" fillId="13" borderId="0" xfId="4" applyNumberFormat="1" applyFont="1" applyFill="1" applyBorder="1" applyAlignment="1" applyProtection="1">
      <alignment vertical="center" wrapText="1"/>
      <protection hidden="1"/>
    </xf>
    <xf numFmtId="15" fontId="16" fillId="14" borderId="0" xfId="4" applyNumberFormat="1" applyFont="1" applyFill="1" applyBorder="1" applyAlignment="1" applyProtection="1">
      <alignment vertical="center" wrapText="1"/>
      <protection hidden="1"/>
    </xf>
    <xf numFmtId="165" fontId="20" fillId="14" borderId="0" xfId="4" applyNumberFormat="1" applyFont="1" applyFill="1" applyBorder="1" applyAlignment="1" applyProtection="1">
      <alignment vertical="center" wrapText="1"/>
      <protection hidden="1"/>
    </xf>
    <xf numFmtId="15" fontId="19" fillId="14" borderId="0" xfId="4" applyNumberFormat="1" applyFont="1" applyFill="1" applyBorder="1" applyAlignment="1" applyProtection="1">
      <alignment horizontal="right" vertical="center" wrapText="1"/>
      <protection hidden="1"/>
    </xf>
    <xf numFmtId="170" fontId="29" fillId="9" borderId="0" xfId="0" applyNumberFormat="1" applyFont="1" applyFill="1" applyBorder="1" applyAlignment="1" applyProtection="1">
      <alignment horizontal="center"/>
      <protection hidden="1"/>
    </xf>
    <xf numFmtId="15" fontId="16" fillId="14" borderId="0" xfId="4" applyNumberFormat="1" applyFont="1" applyFill="1" applyBorder="1" applyAlignment="1" applyProtection="1">
      <alignment horizontal="right" vertical="center" wrapText="1"/>
      <protection hidden="1"/>
    </xf>
    <xf numFmtId="165" fontId="16" fillId="14" borderId="0" xfId="5" applyNumberFormat="1" applyFont="1" applyFill="1" applyBorder="1" applyAlignment="1" applyProtection="1">
      <alignment horizontal="left"/>
      <protection hidden="1"/>
    </xf>
    <xf numFmtId="165" fontId="21" fillId="14" borderId="0" xfId="5" applyNumberFormat="1" applyFont="1" applyFill="1" applyBorder="1" applyAlignment="1" applyProtection="1">
      <alignment horizontal="center" wrapText="1"/>
      <protection hidden="1"/>
    </xf>
    <xf numFmtId="165" fontId="21" fillId="0" borderId="0" xfId="5" applyNumberFormat="1" applyFont="1" applyFill="1" applyBorder="1" applyAlignment="1" applyProtection="1">
      <alignment horizontal="center" wrapText="1"/>
      <protection hidden="1"/>
    </xf>
    <xf numFmtId="0" fontId="16" fillId="0" borderId="0" xfId="4" applyNumberFormat="1" applyFont="1" applyFill="1" applyBorder="1" applyAlignment="1" applyProtection="1">
      <alignment horizontal="center" vertical="center"/>
      <protection hidden="1"/>
    </xf>
    <xf numFmtId="165" fontId="19" fillId="14" borderId="0" xfId="4" applyNumberFormat="1" applyFont="1" applyFill="1" applyBorder="1" applyAlignment="1" applyProtection="1">
      <alignment horizontal="right" vertical="center" wrapText="1"/>
      <protection hidden="1"/>
    </xf>
    <xf numFmtId="0" fontId="26" fillId="14" borderId="11" xfId="0" applyFont="1" applyFill="1" applyBorder="1" applyAlignment="1" applyProtection="1">
      <alignment horizontal="center"/>
      <protection hidden="1"/>
    </xf>
    <xf numFmtId="165" fontId="9" fillId="14" borderId="0" xfId="5" applyNumberFormat="1" applyFont="1" applyFill="1" applyBorder="1" applyAlignment="1" applyProtection="1">
      <alignment vertical="center" wrapText="1"/>
      <protection hidden="1"/>
    </xf>
    <xf numFmtId="0" fontId="40" fillId="15" borderId="0" xfId="0" applyFont="1" applyFill="1" applyProtection="1">
      <protection hidden="1"/>
    </xf>
    <xf numFmtId="15" fontId="7" fillId="15" borderId="28" xfId="4" applyNumberFormat="1" applyFont="1" applyFill="1" applyBorder="1" applyAlignment="1" applyProtection="1">
      <alignment horizontal="left" vertical="center" wrapText="1"/>
      <protection hidden="1"/>
    </xf>
    <xf numFmtId="15" fontId="7" fillId="15" borderId="28" xfId="4" applyNumberFormat="1" applyFont="1" applyFill="1" applyBorder="1" applyAlignment="1" applyProtection="1">
      <alignment horizontal="center" vertical="center" wrapText="1"/>
      <protection hidden="1"/>
    </xf>
    <xf numFmtId="164" fontId="7" fillId="15" borderId="28" xfId="4" applyNumberFormat="1" applyFont="1" applyFill="1" applyBorder="1" applyAlignment="1" applyProtection="1">
      <alignment horizontal="center" vertical="center" wrapText="1"/>
      <protection hidden="1"/>
    </xf>
    <xf numFmtId="0" fontId="41" fillId="15" borderId="0" xfId="0" applyFont="1" applyFill="1" applyBorder="1" applyProtection="1">
      <protection hidden="1"/>
    </xf>
    <xf numFmtId="0" fontId="42" fillId="15" borderId="0" xfId="4" applyFont="1" applyFill="1" applyBorder="1" applyAlignment="1" applyProtection="1">
      <alignment vertical="center" wrapText="1"/>
      <protection hidden="1"/>
    </xf>
    <xf numFmtId="166" fontId="42" fillId="15" borderId="0" xfId="6" applyNumberFormat="1" applyFont="1" applyFill="1" applyBorder="1" applyAlignment="1" applyProtection="1">
      <alignment horizontal="right"/>
      <protection hidden="1"/>
    </xf>
    <xf numFmtId="0" fontId="42" fillId="15" borderId="0" xfId="0" applyFont="1" applyFill="1" applyBorder="1" applyProtection="1">
      <protection hidden="1"/>
    </xf>
    <xf numFmtId="0" fontId="43" fillId="15" borderId="0" xfId="0" applyFont="1" applyFill="1" applyBorder="1" applyAlignment="1" applyProtection="1">
      <alignment horizontal="center"/>
      <protection hidden="1"/>
    </xf>
    <xf numFmtId="0" fontId="3" fillId="15" borderId="0" xfId="0" applyFont="1" applyFill="1" applyBorder="1" applyAlignment="1" applyProtection="1">
      <alignment horizontal="center"/>
      <protection hidden="1"/>
    </xf>
    <xf numFmtId="164" fontId="42" fillId="15" borderId="0" xfId="4" applyNumberFormat="1" applyFont="1" applyFill="1" applyBorder="1" applyAlignment="1" applyProtection="1">
      <alignment vertical="center" wrapText="1"/>
      <protection hidden="1"/>
    </xf>
    <xf numFmtId="165" fontId="44" fillId="15" borderId="0" xfId="5" applyNumberFormat="1" applyFont="1" applyFill="1" applyBorder="1" applyProtection="1">
      <protection hidden="1"/>
    </xf>
    <xf numFmtId="0" fontId="3" fillId="15" borderId="0" xfId="0" applyFont="1" applyFill="1" applyBorder="1" applyProtection="1">
      <protection hidden="1"/>
    </xf>
    <xf numFmtId="167" fontId="42" fillId="15" borderId="0" xfId="4" applyNumberFormat="1" applyFont="1" applyFill="1" applyBorder="1" applyAlignment="1" applyProtection="1">
      <alignment vertical="center" wrapText="1"/>
      <protection hidden="1"/>
    </xf>
    <xf numFmtId="0" fontId="42" fillId="15" borderId="0" xfId="4" applyFont="1" applyFill="1" applyBorder="1" applyAlignment="1" applyProtection="1">
      <alignment horizontal="center" vertical="center"/>
      <protection hidden="1"/>
    </xf>
    <xf numFmtId="165" fontId="42" fillId="15" borderId="0" xfId="5" applyNumberFormat="1" applyFont="1" applyFill="1" applyBorder="1" applyAlignment="1" applyProtection="1">
      <alignment vertical="center" wrapText="1"/>
      <protection hidden="1"/>
    </xf>
    <xf numFmtId="165" fontId="42" fillId="15" borderId="0" xfId="5" applyNumberFormat="1" applyFont="1" applyFill="1" applyBorder="1" applyAlignment="1" applyProtection="1">
      <alignment horizontal="center" vertical="center" wrapText="1"/>
      <protection hidden="1"/>
    </xf>
    <xf numFmtId="165" fontId="42" fillId="15" borderId="0" xfId="5" applyNumberFormat="1" applyFont="1" applyFill="1" applyBorder="1" applyAlignment="1" applyProtection="1">
      <protection hidden="1"/>
    </xf>
    <xf numFmtId="0" fontId="42" fillId="15" borderId="0" xfId="4" applyFont="1" applyFill="1" applyBorder="1" applyAlignment="1" applyProtection="1">
      <alignment horizontal="right" vertical="center"/>
      <protection hidden="1"/>
    </xf>
    <xf numFmtId="0" fontId="42" fillId="15" borderId="0" xfId="6" applyFont="1" applyFill="1" applyBorder="1" applyAlignment="1" applyProtection="1">
      <alignment horizontal="right"/>
      <protection hidden="1"/>
    </xf>
    <xf numFmtId="0" fontId="42" fillId="15" borderId="0" xfId="4" applyFont="1" applyFill="1" applyBorder="1" applyAlignment="1" applyProtection="1">
      <alignment vertical="top" wrapText="1"/>
      <protection hidden="1"/>
    </xf>
    <xf numFmtId="165" fontId="47" fillId="15" borderId="0" xfId="5" applyNumberFormat="1" applyFont="1" applyFill="1" applyBorder="1" applyAlignment="1" applyProtection="1">
      <alignment wrapText="1"/>
      <protection hidden="1"/>
    </xf>
    <xf numFmtId="165" fontId="47" fillId="15" borderId="0" xfId="5" applyNumberFormat="1" applyFont="1" applyFill="1" applyBorder="1" applyAlignment="1" applyProtection="1">
      <alignment horizontal="center" wrapText="1"/>
      <protection hidden="1"/>
    </xf>
    <xf numFmtId="0" fontId="42" fillId="15" borderId="0" xfId="4" applyFont="1" applyFill="1" applyBorder="1" applyAlignment="1" applyProtection="1">
      <alignment vertical="center"/>
      <protection hidden="1"/>
    </xf>
    <xf numFmtId="165" fontId="42" fillId="15" borderId="0" xfId="5" applyNumberFormat="1" applyFont="1" applyFill="1" applyBorder="1" applyAlignment="1" applyProtection="1">
      <alignment horizontal="left"/>
      <protection hidden="1"/>
    </xf>
    <xf numFmtId="166" fontId="42" fillId="15" borderId="0" xfId="2" applyNumberFormat="1" applyFont="1" applyFill="1" applyBorder="1" applyAlignment="1" applyProtection="1">
      <alignment vertical="center" wrapText="1"/>
      <protection hidden="1"/>
    </xf>
    <xf numFmtId="15" fontId="42" fillId="15" borderId="0" xfId="4" applyNumberFormat="1" applyFont="1" applyFill="1" applyBorder="1" applyAlignment="1" applyProtection="1">
      <alignment horizontal="center" vertical="center"/>
      <protection hidden="1"/>
    </xf>
    <xf numFmtId="0" fontId="42" fillId="15" borderId="0" xfId="4" applyFont="1" applyFill="1" applyBorder="1" applyAlignment="1" applyProtection="1">
      <alignment horizontal="right" vertical="center" wrapText="1"/>
      <protection hidden="1"/>
    </xf>
    <xf numFmtId="15" fontId="3" fillId="15" borderId="0" xfId="0" applyNumberFormat="1" applyFont="1" applyFill="1" applyBorder="1" applyProtection="1">
      <protection hidden="1"/>
    </xf>
    <xf numFmtId="2" fontId="3" fillId="15" borderId="0" xfId="0" applyNumberFormat="1" applyFont="1" applyFill="1" applyBorder="1" applyProtection="1">
      <protection hidden="1"/>
    </xf>
    <xf numFmtId="0" fontId="3" fillId="15" borderId="0" xfId="0" applyFont="1" applyFill="1" applyBorder="1" applyAlignment="1" applyProtection="1">
      <alignment wrapText="1"/>
      <protection hidden="1"/>
    </xf>
    <xf numFmtId="1" fontId="3" fillId="15" borderId="0" xfId="0" applyNumberFormat="1" applyFont="1" applyFill="1" applyBorder="1" applyProtection="1">
      <protection hidden="1"/>
    </xf>
    <xf numFmtId="14" fontId="3" fillId="15" borderId="0" xfId="0" applyNumberFormat="1" applyFont="1" applyFill="1" applyBorder="1" applyProtection="1">
      <protection hidden="1"/>
    </xf>
    <xf numFmtId="15" fontId="3" fillId="15" borderId="0" xfId="0" applyNumberFormat="1" applyFont="1" applyFill="1" applyBorder="1" applyAlignment="1" applyProtection="1">
      <alignment wrapText="1"/>
      <protection hidden="1"/>
    </xf>
    <xf numFmtId="0" fontId="3" fillId="15" borderId="0" xfId="0" applyNumberFormat="1" applyFont="1" applyFill="1" applyBorder="1" applyProtection="1">
      <protection hidden="1"/>
    </xf>
    <xf numFmtId="0" fontId="47" fillId="15" borderId="0" xfId="5" applyNumberFormat="1" applyFont="1" applyFill="1" applyBorder="1" applyAlignment="1" applyProtection="1">
      <alignment horizontal="center" wrapText="1"/>
      <protection hidden="1"/>
    </xf>
    <xf numFmtId="15" fontId="23" fillId="15" borderId="0" xfId="0" applyNumberFormat="1" applyFont="1" applyFill="1" applyBorder="1" applyAlignment="1" applyProtection="1">
      <alignment wrapText="1"/>
      <protection hidden="1"/>
    </xf>
    <xf numFmtId="0" fontId="48" fillId="15" borderId="0" xfId="0" applyNumberFormat="1" applyFont="1" applyFill="1" applyBorder="1" applyProtection="1">
      <protection hidden="1"/>
    </xf>
    <xf numFmtId="1" fontId="3" fillId="15" borderId="0" xfId="0" applyNumberFormat="1" applyFont="1" applyFill="1" applyBorder="1" applyAlignment="1" applyProtection="1">
      <alignment wrapText="1"/>
      <protection hidden="1"/>
    </xf>
    <xf numFmtId="0" fontId="46" fillId="15" borderId="0" xfId="3" applyFont="1" applyFill="1" applyBorder="1" applyAlignment="1" applyProtection="1">
      <alignment horizontal="right" wrapText="1"/>
      <protection hidden="1"/>
    </xf>
    <xf numFmtId="168" fontId="3" fillId="15" borderId="0" xfId="0" applyNumberFormat="1" applyFont="1" applyFill="1" applyBorder="1" applyProtection="1">
      <protection hidden="1"/>
    </xf>
    <xf numFmtId="168" fontId="47" fillId="15" borderId="0" xfId="5" applyNumberFormat="1" applyFont="1" applyFill="1" applyBorder="1" applyAlignment="1" applyProtection="1">
      <alignment horizontal="center" wrapText="1"/>
      <protection hidden="1"/>
    </xf>
    <xf numFmtId="0" fontId="49" fillId="15" borderId="0" xfId="3" applyFont="1" applyFill="1" applyBorder="1" applyAlignment="1" applyProtection="1">
      <alignment horizontal="right" wrapText="1"/>
      <protection hidden="1"/>
    </xf>
    <xf numFmtId="2" fontId="23" fillId="15" borderId="0" xfId="0" applyNumberFormat="1" applyFont="1" applyFill="1" applyBorder="1" applyProtection="1">
      <protection hidden="1"/>
    </xf>
    <xf numFmtId="2" fontId="47" fillId="15" borderId="0" xfId="5" applyNumberFormat="1" applyFont="1" applyFill="1" applyBorder="1" applyAlignment="1" applyProtection="1">
      <alignment horizontal="center" wrapText="1"/>
      <protection hidden="1"/>
    </xf>
    <xf numFmtId="0" fontId="46" fillId="15" borderId="0" xfId="3" applyNumberFormat="1" applyFont="1" applyFill="1" applyBorder="1" applyAlignment="1" applyProtection="1">
      <alignment horizontal="right" wrapText="1"/>
      <protection hidden="1"/>
    </xf>
    <xf numFmtId="1" fontId="50" fillId="15" borderId="0" xfId="0" applyNumberFormat="1" applyFont="1" applyFill="1" applyBorder="1" applyProtection="1">
      <protection hidden="1"/>
    </xf>
    <xf numFmtId="0" fontId="51" fillId="15" borderId="0" xfId="8" applyFont="1" applyFill="1" applyBorder="1" applyAlignment="1" applyProtection="1">
      <alignment vertical="top"/>
      <protection hidden="1"/>
    </xf>
    <xf numFmtId="0" fontId="51" fillId="15" borderId="0" xfId="8" applyFont="1" applyFill="1" applyBorder="1" applyAlignment="1" applyProtection="1">
      <alignment vertical="top" wrapText="1"/>
      <protection hidden="1"/>
    </xf>
    <xf numFmtId="0" fontId="51" fillId="15" borderId="0" xfId="0" applyFont="1" applyFill="1" applyAlignment="1" applyProtection="1">
      <alignment vertical="top" wrapText="1"/>
      <protection hidden="1"/>
    </xf>
    <xf numFmtId="0" fontId="51" fillId="15" borderId="0" xfId="8" applyFont="1" applyFill="1" applyBorder="1" applyAlignment="1" applyProtection="1">
      <alignment horizontal="center" vertical="top" wrapText="1"/>
      <protection hidden="1"/>
    </xf>
    <xf numFmtId="0" fontId="52" fillId="15" borderId="0" xfId="8" applyFont="1" applyFill="1" applyBorder="1" applyProtection="1">
      <protection hidden="1"/>
    </xf>
    <xf numFmtId="1" fontId="52" fillId="15" borderId="0" xfId="8" applyNumberFormat="1" applyFont="1" applyFill="1" applyBorder="1" applyAlignment="1" applyProtection="1">
      <alignment horizontal="right" wrapText="1"/>
      <protection hidden="1"/>
    </xf>
    <xf numFmtId="0" fontId="52" fillId="15" borderId="0" xfId="0" applyFont="1" applyFill="1" applyAlignment="1" applyProtection="1">
      <alignment vertical="top" wrapText="1"/>
      <protection hidden="1"/>
    </xf>
    <xf numFmtId="1" fontId="52" fillId="15" borderId="0" xfId="0" applyNumberFormat="1" applyFont="1" applyFill="1" applyProtection="1">
      <protection hidden="1"/>
    </xf>
    <xf numFmtId="0" fontId="3" fillId="15" borderId="0" xfId="0" applyFont="1" applyFill="1" applyBorder="1" applyAlignment="1" applyProtection="1">
      <protection hidden="1"/>
    </xf>
    <xf numFmtId="1" fontId="42" fillId="15" borderId="0" xfId="0" applyNumberFormat="1" applyFont="1" applyFill="1" applyBorder="1" applyProtection="1">
      <protection hidden="1"/>
    </xf>
    <xf numFmtId="0" fontId="3" fillId="15" borderId="0" xfId="0" applyFont="1" applyFill="1" applyProtection="1">
      <protection hidden="1"/>
    </xf>
    <xf numFmtId="169" fontId="52" fillId="15" borderId="0" xfId="8" applyNumberFormat="1" applyFont="1" applyFill="1" applyBorder="1" applyAlignment="1" applyProtection="1">
      <alignment horizontal="right" wrapText="1"/>
      <protection hidden="1"/>
    </xf>
    <xf numFmtId="0" fontId="35" fillId="15" borderId="0" xfId="0" applyFont="1" applyFill="1" applyBorder="1" applyProtection="1">
      <protection hidden="1"/>
    </xf>
    <xf numFmtId="0" fontId="23" fillId="15" borderId="0" xfId="0" applyFont="1" applyFill="1" applyBorder="1" applyProtection="1">
      <protection hidden="1"/>
    </xf>
    <xf numFmtId="15" fontId="23" fillId="15" borderId="0" xfId="0" applyNumberFormat="1" applyFont="1" applyFill="1" applyBorder="1" applyProtection="1">
      <protection hidden="1"/>
    </xf>
    <xf numFmtId="0" fontId="36" fillId="15" borderId="0" xfId="0" applyFont="1" applyFill="1" applyBorder="1" applyProtection="1">
      <protection hidden="1"/>
    </xf>
    <xf numFmtId="0" fontId="23" fillId="15" borderId="0" xfId="0" applyFont="1" applyFill="1" applyBorder="1" applyAlignment="1" applyProtection="1">
      <alignment wrapText="1"/>
      <protection hidden="1"/>
    </xf>
    <xf numFmtId="0" fontId="23" fillId="15" borderId="0" xfId="0" applyFont="1" applyFill="1" applyBorder="1" applyAlignment="1" applyProtection="1">
      <protection hidden="1"/>
    </xf>
    <xf numFmtId="14" fontId="23" fillId="15" borderId="0" xfId="0" applyNumberFormat="1" applyFont="1" applyFill="1" applyBorder="1" applyProtection="1">
      <protection hidden="1"/>
    </xf>
    <xf numFmtId="166" fontId="23" fillId="15" borderId="0" xfId="2" applyNumberFormat="1" applyFont="1" applyFill="1" applyBorder="1" applyAlignment="1" applyProtection="1">
      <alignment vertical="center" wrapText="1"/>
      <protection hidden="1"/>
    </xf>
    <xf numFmtId="1" fontId="23" fillId="15" borderId="0" xfId="0" applyNumberFormat="1" applyFont="1" applyFill="1" applyBorder="1" applyProtection="1">
      <protection hidden="1"/>
    </xf>
    <xf numFmtId="0" fontId="23" fillId="15" borderId="0" xfId="0" applyNumberFormat="1" applyFont="1" applyFill="1" applyBorder="1" applyProtection="1">
      <protection hidden="1"/>
    </xf>
    <xf numFmtId="165" fontId="53" fillId="15" borderId="0" xfId="5" applyNumberFormat="1" applyFont="1" applyFill="1" applyBorder="1" applyAlignment="1" applyProtection="1">
      <alignment horizontal="center" wrapText="1"/>
      <protection hidden="1"/>
    </xf>
    <xf numFmtId="165" fontId="46" fillId="15" borderId="0" xfId="1" applyNumberFormat="1" applyFont="1" applyFill="1" applyBorder="1" applyAlignment="1" applyProtection="1">
      <alignment horizontal="right" wrapText="1"/>
      <protection hidden="1"/>
    </xf>
    <xf numFmtId="0" fontId="53" fillId="15" borderId="0" xfId="5" applyFont="1" applyFill="1" applyBorder="1" applyAlignment="1" applyProtection="1">
      <alignment horizontal="center" wrapText="1"/>
      <protection hidden="1"/>
    </xf>
    <xf numFmtId="165" fontId="46" fillId="15" borderId="0" xfId="3" applyNumberFormat="1" applyFont="1" applyFill="1" applyBorder="1" applyAlignment="1" applyProtection="1">
      <alignment horizontal="right" wrapText="1"/>
      <protection hidden="1"/>
    </xf>
    <xf numFmtId="0" fontId="53" fillId="15" borderId="0" xfId="5" applyNumberFormat="1" applyFont="1" applyFill="1" applyBorder="1" applyAlignment="1" applyProtection="1">
      <alignment horizontal="center" wrapText="1"/>
      <protection hidden="1"/>
    </xf>
    <xf numFmtId="0" fontId="36" fillId="15" borderId="0" xfId="0" applyNumberFormat="1" applyFont="1" applyFill="1" applyBorder="1" applyProtection="1">
      <protection hidden="1"/>
    </xf>
    <xf numFmtId="0" fontId="53" fillId="15" borderId="0" xfId="0" applyNumberFormat="1" applyFont="1" applyFill="1" applyBorder="1" applyProtection="1">
      <protection hidden="1"/>
    </xf>
    <xf numFmtId="15" fontId="23" fillId="15" borderId="0" xfId="4" applyNumberFormat="1" applyFont="1" applyFill="1" applyBorder="1" applyAlignment="1" applyProtection="1">
      <alignment vertical="center" wrapText="1"/>
      <protection hidden="1"/>
    </xf>
    <xf numFmtId="2" fontId="53" fillId="15" borderId="0" xfId="5" applyNumberFormat="1" applyFont="1" applyFill="1" applyBorder="1" applyAlignment="1" applyProtection="1">
      <alignment horizontal="center" wrapText="1"/>
      <protection hidden="1"/>
    </xf>
    <xf numFmtId="167" fontId="53" fillId="15" borderId="0" xfId="5" applyNumberFormat="1" applyFont="1" applyFill="1" applyBorder="1" applyAlignment="1" applyProtection="1">
      <alignment horizontal="center" wrapText="1"/>
      <protection hidden="1"/>
    </xf>
    <xf numFmtId="1" fontId="23" fillId="15" borderId="0" xfId="0" applyNumberFormat="1" applyFont="1" applyFill="1" applyBorder="1" applyAlignment="1" applyProtection="1">
      <alignment wrapText="1"/>
      <protection hidden="1"/>
    </xf>
    <xf numFmtId="14" fontId="53" fillId="15" borderId="0" xfId="5" applyNumberFormat="1" applyFont="1" applyFill="1" applyBorder="1" applyAlignment="1" applyProtection="1">
      <alignment horizontal="center" wrapText="1"/>
      <protection hidden="1"/>
    </xf>
    <xf numFmtId="0" fontId="23" fillId="15" borderId="0" xfId="4" applyNumberFormat="1" applyFont="1" applyFill="1" applyBorder="1" applyAlignment="1" applyProtection="1">
      <alignment horizontal="center" vertical="center"/>
      <protection hidden="1"/>
    </xf>
    <xf numFmtId="15" fontId="23" fillId="15" borderId="0" xfId="4" applyNumberFormat="1" applyFont="1" applyFill="1" applyBorder="1" applyAlignment="1" applyProtection="1">
      <alignment horizontal="center" vertical="center"/>
      <protection hidden="1"/>
    </xf>
    <xf numFmtId="167" fontId="23" fillId="15" borderId="0" xfId="0" applyNumberFormat="1" applyFont="1" applyFill="1" applyBorder="1" applyProtection="1">
      <protection hidden="1"/>
    </xf>
    <xf numFmtId="165" fontId="49" fillId="15" borderId="0" xfId="1" applyNumberFormat="1" applyFont="1" applyFill="1" applyBorder="1" applyAlignment="1" applyProtection="1">
      <alignment horizontal="right" wrapText="1"/>
      <protection hidden="1"/>
    </xf>
    <xf numFmtId="0" fontId="49" fillId="15" borderId="0" xfId="3" applyNumberFormat="1" applyFont="1" applyFill="1" applyBorder="1" applyAlignment="1" applyProtection="1">
      <alignment horizontal="right" wrapText="1"/>
      <protection hidden="1"/>
    </xf>
    <xf numFmtId="0" fontId="23" fillId="15" borderId="0" xfId="4" applyFont="1" applyFill="1" applyBorder="1" applyAlignment="1" applyProtection="1">
      <alignment horizontal="center" vertical="center"/>
      <protection hidden="1"/>
    </xf>
    <xf numFmtId="1" fontId="49" fillId="15" borderId="0" xfId="1" applyNumberFormat="1" applyFont="1" applyFill="1" applyBorder="1" applyAlignment="1" applyProtection="1">
      <alignment horizontal="right" wrapText="1"/>
      <protection hidden="1"/>
    </xf>
    <xf numFmtId="165" fontId="49" fillId="15" borderId="0" xfId="3" applyNumberFormat="1" applyFont="1" applyFill="1" applyBorder="1" applyAlignment="1" applyProtection="1">
      <alignment horizontal="right" wrapText="1"/>
      <protection hidden="1"/>
    </xf>
    <xf numFmtId="165" fontId="23" fillId="15" borderId="0" xfId="0" applyNumberFormat="1" applyFont="1" applyFill="1" applyBorder="1" applyProtection="1">
      <protection hidden="1"/>
    </xf>
    <xf numFmtId="1" fontId="54" fillId="15" borderId="0" xfId="0" applyNumberFormat="1" applyFont="1" applyFill="1" applyBorder="1" applyProtection="1">
      <protection hidden="1"/>
    </xf>
    <xf numFmtId="1" fontId="49" fillId="15" borderId="0" xfId="3" applyNumberFormat="1" applyFont="1" applyFill="1" applyBorder="1" applyAlignment="1" applyProtection="1">
      <alignment horizontal="right" wrapText="1"/>
      <protection hidden="1"/>
    </xf>
    <xf numFmtId="0" fontId="55" fillId="15" borderId="0" xfId="8" applyFont="1" applyFill="1" applyBorder="1" applyAlignment="1" applyProtection="1">
      <alignment vertical="top"/>
      <protection hidden="1"/>
    </xf>
    <xf numFmtId="1" fontId="53" fillId="15" borderId="0" xfId="8" applyNumberFormat="1" applyFont="1" applyFill="1" applyBorder="1" applyAlignment="1" applyProtection="1">
      <alignment horizontal="right" wrapText="1"/>
      <protection hidden="1"/>
    </xf>
    <xf numFmtId="0" fontId="55" fillId="15" borderId="0" xfId="8" applyFont="1" applyFill="1" applyBorder="1" applyAlignment="1" applyProtection="1">
      <alignment horizontal="center" vertical="top" wrapText="1"/>
      <protection hidden="1"/>
    </xf>
    <xf numFmtId="0" fontId="52" fillId="15" borderId="0" xfId="8" applyFont="1" applyFill="1" applyBorder="1" applyAlignment="1" applyProtection="1">
      <alignment horizontal="right" wrapText="1"/>
      <protection hidden="1"/>
    </xf>
    <xf numFmtId="1" fontId="3" fillId="15" borderId="0" xfId="0" applyNumberFormat="1" applyFont="1" applyFill="1" applyProtection="1">
      <protection hidden="1"/>
    </xf>
    <xf numFmtId="0" fontId="36" fillId="15" borderId="0" xfId="0" applyFont="1" applyFill="1" applyProtection="1">
      <protection hidden="1"/>
    </xf>
    <xf numFmtId="0" fontId="23" fillId="15" borderId="0" xfId="0" applyFont="1" applyFill="1" applyProtection="1">
      <protection hidden="1"/>
    </xf>
    <xf numFmtId="171" fontId="25" fillId="10" borderId="29" xfId="3" applyNumberFormat="1" applyFont="1" applyFill="1" applyBorder="1" applyAlignment="1" applyProtection="1">
      <alignment horizontal="center" vertical="center" wrapText="1"/>
      <protection locked="0"/>
    </xf>
    <xf numFmtId="165" fontId="21" fillId="14" borderId="0" xfId="5" applyNumberFormat="1" applyFont="1" applyFill="1" applyBorder="1" applyAlignment="1" applyProtection="1">
      <alignment vertical="center" wrapText="1"/>
      <protection hidden="1"/>
    </xf>
    <xf numFmtId="0" fontId="55" fillId="15" borderId="0" xfId="8" applyFont="1" applyFill="1" applyBorder="1" applyAlignment="1" applyProtection="1">
      <alignment vertical="top" wrapText="1"/>
      <protection hidden="1"/>
    </xf>
    <xf numFmtId="0" fontId="55" fillId="15" borderId="0" xfId="0" applyFont="1" applyFill="1" applyAlignment="1" applyProtection="1">
      <alignment vertical="top" wrapText="1"/>
      <protection hidden="1"/>
    </xf>
    <xf numFmtId="0" fontId="53" fillId="15" borderId="0" xfId="8" applyFont="1" applyFill="1" applyBorder="1" applyProtection="1">
      <protection hidden="1"/>
    </xf>
    <xf numFmtId="1" fontId="53" fillId="15" borderId="0" xfId="7" applyNumberFormat="1" applyFont="1" applyFill="1" applyBorder="1" applyAlignment="1" applyProtection="1">
      <alignment horizontal="right"/>
      <protection hidden="1"/>
    </xf>
    <xf numFmtId="15" fontId="23" fillId="15" borderId="0" xfId="0" applyNumberFormat="1" applyFont="1" applyFill="1" applyProtection="1">
      <protection hidden="1"/>
    </xf>
    <xf numFmtId="1" fontId="55" fillId="15" borderId="0" xfId="0" applyNumberFormat="1" applyFont="1" applyFill="1" applyAlignment="1" applyProtection="1">
      <alignment vertical="top" wrapText="1"/>
      <protection hidden="1"/>
    </xf>
    <xf numFmtId="1" fontId="23" fillId="15" borderId="0" xfId="0" applyNumberFormat="1" applyFont="1" applyFill="1" applyProtection="1">
      <protection hidden="1"/>
    </xf>
    <xf numFmtId="15" fontId="55" fillId="15" borderId="0" xfId="0" applyNumberFormat="1" applyFont="1" applyFill="1" applyAlignment="1" applyProtection="1">
      <alignment vertical="top" wrapText="1"/>
      <protection hidden="1"/>
    </xf>
    <xf numFmtId="1" fontId="55" fillId="15" borderId="0" xfId="0" applyNumberFormat="1" applyFont="1" applyFill="1" applyAlignment="1" applyProtection="1">
      <alignment horizontal="center" vertical="top" wrapText="1"/>
      <protection hidden="1"/>
    </xf>
    <xf numFmtId="164" fontId="55" fillId="15" borderId="0" xfId="0" applyNumberFormat="1" applyFont="1" applyFill="1" applyAlignment="1" applyProtection="1">
      <alignment horizontal="center" vertical="top" wrapText="1"/>
      <protection hidden="1"/>
    </xf>
    <xf numFmtId="0" fontId="53" fillId="15" borderId="0" xfId="0" applyFont="1" applyFill="1" applyAlignment="1" applyProtection="1">
      <alignment vertical="top" wrapText="1"/>
      <protection hidden="1"/>
    </xf>
    <xf numFmtId="164" fontId="53" fillId="15" borderId="0" xfId="7" applyNumberFormat="1" applyFont="1" applyFill="1" applyAlignment="1" applyProtection="1">
      <alignment horizontal="center"/>
      <protection hidden="1"/>
    </xf>
    <xf numFmtId="15" fontId="53" fillId="15" borderId="0" xfId="7" applyNumberFormat="1" applyFont="1" applyFill="1" applyAlignment="1" applyProtection="1">
      <alignment horizontal="center"/>
      <protection hidden="1"/>
    </xf>
    <xf numFmtId="1" fontId="53" fillId="15" borderId="0" xfId="7" applyNumberFormat="1" applyFont="1" applyFill="1" applyAlignment="1" applyProtection="1">
      <alignment horizontal="center"/>
      <protection hidden="1"/>
    </xf>
    <xf numFmtId="1" fontId="53" fillId="15" borderId="0" xfId="7" applyNumberFormat="1" applyFont="1" applyFill="1" applyBorder="1" applyProtection="1">
      <protection hidden="1"/>
    </xf>
    <xf numFmtId="1" fontId="53" fillId="15" borderId="0" xfId="0" applyNumberFormat="1" applyFont="1" applyFill="1" applyProtection="1">
      <protection hidden="1"/>
    </xf>
    <xf numFmtId="14" fontId="23" fillId="15" borderId="0" xfId="0" applyNumberFormat="1" applyFont="1" applyFill="1" applyProtection="1">
      <protection hidden="1"/>
    </xf>
    <xf numFmtId="1" fontId="53" fillId="15" borderId="0" xfId="0" applyNumberFormat="1" applyFont="1" applyFill="1" applyAlignment="1" applyProtection="1">
      <alignment horizontal="right" wrapText="1"/>
      <protection hidden="1"/>
    </xf>
    <xf numFmtId="0" fontId="53" fillId="15" borderId="0" xfId="0" applyFont="1" applyFill="1" applyAlignment="1" applyProtection="1">
      <alignment horizontal="right" wrapText="1"/>
      <protection hidden="1"/>
    </xf>
    <xf numFmtId="164" fontId="53" fillId="15" borderId="0" xfId="0" applyNumberFormat="1" applyFont="1" applyFill="1" applyAlignment="1" applyProtection="1">
      <alignment horizontal="right" wrapText="1"/>
      <protection hidden="1"/>
    </xf>
    <xf numFmtId="165" fontId="23" fillId="15" borderId="0" xfId="1" applyNumberFormat="1" applyFont="1" applyFill="1" applyProtection="1">
      <protection hidden="1"/>
    </xf>
    <xf numFmtId="1" fontId="52" fillId="15" borderId="0" xfId="7" applyNumberFormat="1" applyFont="1" applyFill="1" applyBorder="1" applyAlignment="1" applyProtection="1">
      <alignment horizontal="right"/>
      <protection hidden="1"/>
    </xf>
    <xf numFmtId="171" fontId="16" fillId="13" borderId="0" xfId="4" applyNumberFormat="1" applyFont="1" applyFill="1" applyBorder="1" applyAlignment="1" applyProtection="1">
      <alignment vertical="center" wrapText="1"/>
      <protection hidden="1"/>
    </xf>
    <xf numFmtId="0" fontId="6" fillId="7" borderId="5" xfId="0" applyFont="1" applyFill="1" applyBorder="1" applyAlignment="1" applyProtection="1">
      <alignment horizontal="left" wrapText="1"/>
    </xf>
    <xf numFmtId="0" fontId="6" fillId="7" borderId="0" xfId="0" applyFont="1" applyFill="1" applyBorder="1" applyAlignment="1" applyProtection="1">
      <alignment horizontal="left" wrapText="1"/>
    </xf>
    <xf numFmtId="0" fontId="6" fillId="7" borderId="6" xfId="0" applyFont="1" applyFill="1" applyBorder="1" applyAlignment="1" applyProtection="1">
      <alignment horizontal="left" wrapText="1"/>
    </xf>
    <xf numFmtId="0" fontId="0" fillId="7" borderId="6" xfId="0" applyFill="1" applyBorder="1"/>
    <xf numFmtId="0" fontId="6" fillId="7" borderId="38" xfId="0" applyFont="1" applyFill="1" applyBorder="1" applyAlignment="1" applyProtection="1">
      <alignment horizontal="left" wrapText="1"/>
    </xf>
    <xf numFmtId="0" fontId="6" fillId="7" borderId="39" xfId="0" applyFont="1" applyFill="1" applyBorder="1" applyAlignment="1" applyProtection="1">
      <alignment horizontal="left" wrapText="1"/>
    </xf>
    <xf numFmtId="0" fontId="6" fillId="7" borderId="40" xfId="0" applyFont="1" applyFill="1" applyBorder="1" applyAlignment="1" applyProtection="1">
      <alignment horizontal="left" wrapText="1"/>
    </xf>
    <xf numFmtId="0" fontId="61" fillId="7" borderId="5" xfId="0" applyFont="1" applyFill="1" applyBorder="1"/>
    <xf numFmtId="0" fontId="62" fillId="7" borderId="0" xfId="9" quotePrefix="1" applyFont="1" applyFill="1" applyBorder="1" applyAlignment="1" applyProtection="1">
      <alignment horizontal="left" wrapText="1"/>
    </xf>
    <xf numFmtId="0" fontId="60" fillId="7" borderId="0" xfId="0" applyFont="1" applyFill="1" applyBorder="1" applyAlignment="1" applyProtection="1">
      <alignment horizontal="left" wrapText="1"/>
    </xf>
    <xf numFmtId="0" fontId="62" fillId="7" borderId="0" xfId="9" applyFont="1" applyFill="1" applyBorder="1" applyAlignment="1" applyProtection="1">
      <alignment horizontal="left" wrapText="1"/>
    </xf>
    <xf numFmtId="0" fontId="26" fillId="14" borderId="0" xfId="0" applyFont="1" applyFill="1" applyProtection="1">
      <protection hidden="1"/>
    </xf>
    <xf numFmtId="0" fontId="14" fillId="14" borderId="0" xfId="0" applyFont="1" applyFill="1" applyBorder="1" applyAlignment="1" applyProtection="1">
      <alignment horizontal="center" vertical="top" wrapText="1"/>
      <protection hidden="1"/>
    </xf>
    <xf numFmtId="44" fontId="26" fillId="14" borderId="0" xfId="1" applyFont="1" applyFill="1" applyBorder="1" applyProtection="1">
      <protection hidden="1"/>
    </xf>
    <xf numFmtId="0" fontId="30" fillId="14" borderId="0" xfId="0" applyFont="1" applyFill="1" applyBorder="1" applyAlignment="1" applyProtection="1">
      <alignment horizontal="center"/>
      <protection hidden="1"/>
    </xf>
    <xf numFmtId="0" fontId="56" fillId="14" borderId="0" xfId="3" applyFont="1" applyFill="1" applyBorder="1" applyAlignment="1" applyProtection="1">
      <alignment wrapText="1"/>
      <protection hidden="1"/>
    </xf>
    <xf numFmtId="0" fontId="57" fillId="14" borderId="0" xfId="0" applyFont="1" applyFill="1" applyBorder="1" applyProtection="1">
      <protection hidden="1"/>
    </xf>
    <xf numFmtId="0" fontId="10" fillId="14" borderId="0" xfId="0" applyFont="1" applyFill="1" applyBorder="1" applyProtection="1">
      <protection hidden="1"/>
    </xf>
    <xf numFmtId="0" fontId="34" fillId="12" borderId="0" xfId="0" applyFont="1" applyFill="1" applyBorder="1" applyProtection="1">
      <protection hidden="1"/>
    </xf>
    <xf numFmtId="0" fontId="14" fillId="14" borderId="5" xfId="0" applyFont="1" applyFill="1" applyBorder="1" applyAlignment="1" applyProtection="1">
      <alignment vertical="top" wrapText="1"/>
      <protection hidden="1"/>
    </xf>
    <xf numFmtId="0" fontId="14" fillId="14" borderId="0" xfId="0" applyFont="1" applyFill="1" applyBorder="1" applyAlignment="1" applyProtection="1">
      <alignment vertical="top" wrapText="1"/>
      <protection hidden="1"/>
    </xf>
    <xf numFmtId="0" fontId="14" fillId="14" borderId="5" xfId="0" applyFont="1" applyFill="1" applyBorder="1" applyAlignment="1" applyProtection="1">
      <alignment vertical="top"/>
      <protection hidden="1"/>
    </xf>
    <xf numFmtId="0" fontId="13" fillId="6" borderId="0" xfId="0" applyFont="1" applyFill="1" applyBorder="1" applyAlignment="1" applyProtection="1">
      <alignment horizontal="right" wrapText="1"/>
      <protection hidden="1"/>
    </xf>
    <xf numFmtId="0" fontId="10" fillId="6" borderId="0" xfId="0" applyFont="1" applyFill="1" applyBorder="1" applyProtection="1">
      <protection hidden="1"/>
    </xf>
    <xf numFmtId="0" fontId="10" fillId="8" borderId="6" xfId="0" applyFont="1" applyFill="1" applyBorder="1" applyProtection="1">
      <protection hidden="1"/>
    </xf>
    <xf numFmtId="0" fontId="11" fillId="8" borderId="4" xfId="0" applyFont="1" applyFill="1" applyBorder="1" applyAlignment="1" applyProtection="1">
      <alignment wrapText="1"/>
      <protection hidden="1"/>
    </xf>
    <xf numFmtId="0" fontId="11" fillId="14" borderId="0" xfId="0" applyFont="1" applyFill="1" applyBorder="1" applyAlignment="1" applyProtection="1">
      <alignment horizontal="center" wrapText="1"/>
      <protection hidden="1"/>
    </xf>
    <xf numFmtId="0" fontId="11" fillId="8" borderId="6" xfId="0" applyFont="1" applyFill="1" applyBorder="1" applyAlignment="1" applyProtection="1">
      <alignment wrapText="1"/>
      <protection hidden="1"/>
    </xf>
    <xf numFmtId="0" fontId="16" fillId="14" borderId="0" xfId="0" applyFont="1" applyFill="1" applyProtection="1">
      <protection hidden="1"/>
    </xf>
    <xf numFmtId="44" fontId="16" fillId="14" borderId="0" xfId="0" applyNumberFormat="1" applyFont="1" applyFill="1" applyProtection="1">
      <protection hidden="1"/>
    </xf>
    <xf numFmtId="0" fontId="0" fillId="14" borderId="0" xfId="0" applyFill="1" applyProtection="1">
      <protection hidden="1"/>
    </xf>
    <xf numFmtId="15" fontId="24" fillId="8" borderId="31" xfId="4" applyNumberFormat="1" applyFont="1" applyFill="1" applyBorder="1" applyAlignment="1" applyProtection="1">
      <alignment vertical="center" wrapText="1"/>
      <protection hidden="1"/>
    </xf>
    <xf numFmtId="15" fontId="39" fillId="15" borderId="0" xfId="4" applyNumberFormat="1" applyFont="1" applyFill="1" applyBorder="1" applyAlignment="1" applyProtection="1">
      <alignment horizontal="center" vertical="center" wrapText="1"/>
      <protection hidden="1"/>
    </xf>
    <xf numFmtId="167" fontId="45" fillId="15" borderId="0" xfId="3" applyNumberFormat="1" applyFont="1" applyFill="1" applyBorder="1" applyAlignment="1" applyProtection="1">
      <alignment wrapText="1"/>
      <protection hidden="1"/>
    </xf>
    <xf numFmtId="167" fontId="46" fillId="15" borderId="0" xfId="3" applyNumberFormat="1" applyFont="1" applyFill="1" applyBorder="1" applyAlignment="1" applyProtection="1">
      <alignment wrapText="1"/>
      <protection hidden="1"/>
    </xf>
    <xf numFmtId="44" fontId="3" fillId="15" borderId="0" xfId="0" applyNumberFormat="1" applyFont="1" applyFill="1" applyProtection="1">
      <protection hidden="1"/>
    </xf>
    <xf numFmtId="15" fontId="3" fillId="15" borderId="0" xfId="0" applyNumberFormat="1" applyFont="1" applyFill="1" applyProtection="1">
      <protection hidden="1"/>
    </xf>
    <xf numFmtId="0" fontId="3" fillId="15" borderId="0" xfId="0" applyFont="1" applyFill="1" applyAlignment="1" applyProtection="1">
      <alignment horizontal="left"/>
      <protection hidden="1"/>
    </xf>
    <xf numFmtId="0" fontId="3" fillId="15" borderId="0" xfId="0" applyFont="1" applyFill="1" applyAlignment="1" applyProtection="1">
      <alignment horizontal="left" wrapText="1"/>
      <protection hidden="1"/>
    </xf>
    <xf numFmtId="0" fontId="3" fillId="15" borderId="0" xfId="0" quotePrefix="1" applyFont="1" applyFill="1" applyProtection="1">
      <protection hidden="1"/>
    </xf>
    <xf numFmtId="0" fontId="3" fillId="15" borderId="0" xfId="0" applyFont="1" applyFill="1" applyAlignment="1" applyProtection="1">
      <alignment wrapText="1"/>
      <protection hidden="1"/>
    </xf>
    <xf numFmtId="15" fontId="3" fillId="15" borderId="0" xfId="0" applyNumberFormat="1" applyFont="1" applyFill="1" applyAlignment="1" applyProtection="1">
      <alignment wrapText="1"/>
      <protection hidden="1"/>
    </xf>
    <xf numFmtId="168" fontId="3" fillId="15" borderId="0" xfId="0" applyNumberFormat="1" applyFont="1" applyFill="1" applyProtection="1">
      <protection hidden="1"/>
    </xf>
    <xf numFmtId="2" fontId="3" fillId="15" borderId="0" xfId="0" applyNumberFormat="1" applyFont="1" applyFill="1" applyProtection="1">
      <protection hidden="1"/>
    </xf>
    <xf numFmtId="0" fontId="3" fillId="15" borderId="0" xfId="0" applyNumberFormat="1" applyFont="1" applyFill="1" applyProtection="1">
      <protection hidden="1"/>
    </xf>
    <xf numFmtId="0" fontId="51" fillId="15" borderId="0" xfId="0" applyFont="1" applyFill="1" applyAlignment="1" applyProtection="1">
      <alignment horizontal="center" vertical="top" wrapText="1"/>
      <protection hidden="1"/>
    </xf>
    <xf numFmtId="0" fontId="52" fillId="15" borderId="0" xfId="7" applyFont="1" applyFill="1" applyAlignment="1" applyProtection="1">
      <alignment horizontal="center"/>
      <protection hidden="1"/>
    </xf>
    <xf numFmtId="0" fontId="52" fillId="15" borderId="0" xfId="0" applyFont="1" applyFill="1" applyAlignment="1" applyProtection="1">
      <alignment horizontal="right" wrapText="1"/>
      <protection hidden="1"/>
    </xf>
    <xf numFmtId="1" fontId="52" fillId="15" borderId="0" xfId="0" applyNumberFormat="1" applyFont="1" applyFill="1" applyAlignment="1" applyProtection="1">
      <alignment vertical="top" wrapText="1"/>
      <protection hidden="1"/>
    </xf>
    <xf numFmtId="0" fontId="52" fillId="15" borderId="0" xfId="7" applyFont="1" applyFill="1" applyAlignment="1" applyProtection="1">
      <alignment horizontal="right"/>
      <protection hidden="1"/>
    </xf>
    <xf numFmtId="169" fontId="3" fillId="15" borderId="0" xfId="0" applyNumberFormat="1" applyFont="1" applyFill="1" applyProtection="1">
      <protection hidden="1"/>
    </xf>
    <xf numFmtId="0" fontId="31" fillId="8" borderId="2" xfId="0" applyFont="1" applyFill="1" applyBorder="1" applyProtection="1">
      <protection hidden="1"/>
    </xf>
    <xf numFmtId="0" fontId="5" fillId="8" borderId="4" xfId="0" applyFont="1" applyFill="1" applyBorder="1" applyAlignment="1" applyProtection="1">
      <alignment wrapText="1"/>
      <protection hidden="1"/>
    </xf>
    <xf numFmtId="0" fontId="0" fillId="0" borderId="0" xfId="0" applyProtection="1">
      <protection hidden="1"/>
    </xf>
    <xf numFmtId="0" fontId="31" fillId="8" borderId="5" xfId="0" applyFont="1" applyFill="1" applyBorder="1" applyProtection="1">
      <protection hidden="1"/>
    </xf>
    <xf numFmtId="0" fontId="6" fillId="8" borderId="6" xfId="0" applyFont="1" applyFill="1" applyBorder="1" applyAlignment="1" applyProtection="1">
      <alignment wrapText="1"/>
      <protection hidden="1"/>
    </xf>
    <xf numFmtId="0" fontId="26" fillId="14" borderId="5" xfId="0" applyFont="1" applyFill="1" applyBorder="1" applyProtection="1">
      <protection hidden="1"/>
    </xf>
    <xf numFmtId="0" fontId="0" fillId="8" borderId="6" xfId="0" applyFill="1" applyBorder="1" applyProtection="1">
      <protection hidden="1"/>
    </xf>
    <xf numFmtId="0" fontId="35" fillId="8" borderId="5" xfId="0" applyFont="1" applyFill="1" applyBorder="1" applyAlignment="1" applyProtection="1">
      <alignment horizontal="center" vertical="center"/>
      <protection hidden="1"/>
    </xf>
    <xf numFmtId="0" fontId="31" fillId="8" borderId="5" xfId="0" applyFont="1" applyFill="1" applyBorder="1" applyAlignment="1" applyProtection="1">
      <alignment horizontal="center" vertical="center"/>
      <protection hidden="1"/>
    </xf>
    <xf numFmtId="0" fontId="26" fillId="8" borderId="6" xfId="0" applyFont="1" applyFill="1" applyBorder="1" applyProtection="1">
      <protection hidden="1"/>
    </xf>
    <xf numFmtId="0" fontId="27" fillId="14" borderId="5" xfId="0" applyFont="1" applyFill="1" applyBorder="1" applyProtection="1">
      <protection hidden="1"/>
    </xf>
    <xf numFmtId="0" fontId="31" fillId="8" borderId="5" xfId="0" applyFont="1" applyFill="1" applyBorder="1" applyAlignment="1" applyProtection="1">
      <alignment horizontal="center"/>
      <protection hidden="1"/>
    </xf>
    <xf numFmtId="0" fontId="31" fillId="8" borderId="0" xfId="0" applyFont="1" applyFill="1" applyProtection="1">
      <protection hidden="1"/>
    </xf>
    <xf numFmtId="0" fontId="28" fillId="12" borderId="0" xfId="0" applyFont="1" applyFill="1" applyBorder="1" applyAlignment="1" applyProtection="1">
      <alignment wrapText="1"/>
      <protection hidden="1"/>
    </xf>
    <xf numFmtId="0" fontId="33" fillId="8" borderId="6" xfId="0" applyFont="1" applyFill="1" applyBorder="1" applyProtection="1">
      <protection hidden="1"/>
    </xf>
    <xf numFmtId="0" fontId="35" fillId="8" borderId="5" xfId="0" applyFont="1" applyFill="1" applyBorder="1" applyAlignment="1" applyProtection="1">
      <alignment horizontal="right" wrapText="1"/>
      <protection hidden="1"/>
    </xf>
    <xf numFmtId="0" fontId="10" fillId="0" borderId="0" xfId="0" applyFont="1" applyProtection="1">
      <protection hidden="1"/>
    </xf>
    <xf numFmtId="0" fontId="10" fillId="0" borderId="0" xfId="0" applyFont="1" applyFill="1" applyProtection="1">
      <protection hidden="1"/>
    </xf>
    <xf numFmtId="0" fontId="0" fillId="0" borderId="0" xfId="0" applyFill="1" applyProtection="1">
      <protection hidden="1"/>
    </xf>
    <xf numFmtId="0" fontId="57" fillId="14" borderId="5" xfId="0" applyFont="1" applyFill="1" applyBorder="1" applyProtection="1">
      <protection hidden="1"/>
    </xf>
    <xf numFmtId="165" fontId="25" fillId="10" borderId="29" xfId="3" applyNumberFormat="1" applyFont="1" applyFill="1" applyBorder="1" applyAlignment="1" applyProtection="1">
      <alignment horizontal="center" vertical="center" wrapText="1"/>
      <protection locked="0"/>
    </xf>
    <xf numFmtId="165" fontId="28" fillId="12" borderId="41" xfId="3" applyNumberFormat="1" applyFont="1" applyFill="1" applyBorder="1" applyAlignment="1" applyProtection="1">
      <alignment horizontal="center" wrapText="1"/>
      <protection hidden="1"/>
    </xf>
    <xf numFmtId="166" fontId="25" fillId="16" borderId="25" xfId="2" applyNumberFormat="1" applyFont="1" applyFill="1" applyBorder="1" applyAlignment="1" applyProtection="1">
      <alignment horizontal="center"/>
      <protection locked="0"/>
    </xf>
    <xf numFmtId="165" fontId="25" fillId="16" borderId="29" xfId="3" applyNumberFormat="1" applyFont="1" applyFill="1" applyBorder="1" applyAlignment="1" applyProtection="1">
      <alignment horizontal="center" vertical="center"/>
      <protection locked="0"/>
    </xf>
    <xf numFmtId="0" fontId="12" fillId="8" borderId="6" xfId="0" applyFont="1" applyFill="1" applyBorder="1" applyAlignment="1" applyProtection="1">
      <alignment wrapText="1"/>
      <protection hidden="1"/>
    </xf>
    <xf numFmtId="0" fontId="26" fillId="0" borderId="0" xfId="0" applyFont="1" applyProtection="1">
      <protection hidden="1"/>
    </xf>
    <xf numFmtId="0" fontId="35" fillId="8" borderId="5" xfId="0" applyFont="1" applyFill="1" applyBorder="1" applyAlignment="1" applyProtection="1">
      <alignment horizontal="center"/>
      <protection hidden="1"/>
    </xf>
    <xf numFmtId="0" fontId="57" fillId="14" borderId="0" xfId="0" applyFont="1" applyFill="1" applyBorder="1" applyAlignment="1" applyProtection="1">
      <alignment horizontal="center"/>
      <protection hidden="1"/>
    </xf>
    <xf numFmtId="0" fontId="33" fillId="0" borderId="0" xfId="0" applyFont="1" applyProtection="1">
      <protection hidden="1"/>
    </xf>
    <xf numFmtId="0" fontId="16" fillId="0" borderId="0" xfId="0" applyFont="1" applyFill="1" applyProtection="1">
      <protection hidden="1"/>
    </xf>
    <xf numFmtId="167" fontId="8" fillId="13" borderId="0" xfId="3" applyNumberFormat="1" applyFont="1" applyFill="1" applyBorder="1" applyAlignment="1" applyProtection="1">
      <alignment wrapText="1"/>
      <protection hidden="1"/>
    </xf>
    <xf numFmtId="0" fontId="10" fillId="0" borderId="0" xfId="0" applyNumberFormat="1" applyFont="1" applyFill="1" applyProtection="1">
      <protection hidden="1"/>
    </xf>
    <xf numFmtId="0" fontId="23" fillId="15" borderId="0" xfId="0" quotePrefix="1" applyFont="1" applyFill="1" applyProtection="1">
      <protection hidden="1"/>
    </xf>
    <xf numFmtId="0" fontId="23" fillId="15" borderId="0" xfId="0" applyFont="1" applyFill="1" applyAlignment="1" applyProtection="1">
      <alignment wrapText="1"/>
      <protection hidden="1"/>
    </xf>
    <xf numFmtId="0" fontId="23" fillId="15" borderId="0" xfId="0" applyNumberFormat="1" applyFont="1" applyFill="1" applyProtection="1">
      <protection hidden="1"/>
    </xf>
    <xf numFmtId="164" fontId="54" fillId="15" borderId="0" xfId="0" applyNumberFormat="1" applyFont="1" applyFill="1" applyProtection="1">
      <protection hidden="1"/>
    </xf>
    <xf numFmtId="164" fontId="55" fillId="15" borderId="0" xfId="0" applyNumberFormat="1" applyFont="1" applyFill="1" applyAlignment="1" applyProtection="1">
      <alignment vertical="top" wrapText="1"/>
      <protection hidden="1"/>
    </xf>
    <xf numFmtId="0" fontId="55" fillId="15" borderId="0" xfId="0" applyFont="1" applyFill="1" applyAlignment="1" applyProtection="1">
      <alignment horizontal="center" vertical="top" wrapText="1"/>
      <protection hidden="1"/>
    </xf>
    <xf numFmtId="15" fontId="55" fillId="15" borderId="0" xfId="0" applyNumberFormat="1" applyFont="1" applyFill="1" applyAlignment="1" applyProtection="1">
      <alignment horizontal="center" vertical="top" wrapText="1"/>
      <protection hidden="1"/>
    </xf>
    <xf numFmtId="164" fontId="58" fillId="15" borderId="0" xfId="0" applyNumberFormat="1" applyFont="1" applyFill="1" applyAlignment="1" applyProtection="1">
      <alignment horizontal="center" vertical="top" wrapText="1"/>
      <protection hidden="1"/>
    </xf>
    <xf numFmtId="165" fontId="55" fillId="15" borderId="0" xfId="0" applyNumberFormat="1" applyFont="1" applyFill="1" applyAlignment="1" applyProtection="1">
      <alignment horizontal="center" vertical="top" wrapText="1"/>
      <protection hidden="1"/>
    </xf>
    <xf numFmtId="0" fontId="53" fillId="15" borderId="0" xfId="7" applyFont="1" applyFill="1" applyAlignment="1" applyProtection="1">
      <alignment horizontal="center"/>
      <protection hidden="1"/>
    </xf>
    <xf numFmtId="44" fontId="23" fillId="15" borderId="0" xfId="0" applyNumberFormat="1" applyFont="1" applyFill="1" applyProtection="1">
      <protection hidden="1"/>
    </xf>
    <xf numFmtId="165" fontId="53" fillId="15" borderId="0" xfId="7" applyNumberFormat="1" applyFont="1" applyFill="1" applyAlignment="1" applyProtection="1">
      <alignment horizontal="center"/>
      <protection hidden="1"/>
    </xf>
    <xf numFmtId="15" fontId="53" fillId="15" borderId="0" xfId="0" applyNumberFormat="1" applyFont="1" applyFill="1" applyAlignment="1" applyProtection="1">
      <alignment horizontal="right" wrapText="1"/>
      <protection hidden="1"/>
    </xf>
    <xf numFmtId="164" fontId="59" fillId="15" borderId="0" xfId="0" applyNumberFormat="1" applyFont="1" applyFill="1" applyAlignment="1" applyProtection="1">
      <alignment horizontal="right" wrapText="1"/>
      <protection hidden="1"/>
    </xf>
    <xf numFmtId="165" fontId="53" fillId="15" borderId="0" xfId="0" applyNumberFormat="1" applyFont="1" applyFill="1" applyAlignment="1" applyProtection="1">
      <alignment horizontal="right" wrapText="1"/>
      <protection hidden="1"/>
    </xf>
    <xf numFmtId="1" fontId="53" fillId="15" borderId="0" xfId="0" applyNumberFormat="1" applyFont="1" applyFill="1" applyAlignment="1" applyProtection="1">
      <alignment vertical="top" wrapText="1"/>
      <protection hidden="1"/>
    </xf>
    <xf numFmtId="0" fontId="53" fillId="15" borderId="0" xfId="7" applyFont="1" applyFill="1" applyAlignment="1" applyProtection="1">
      <alignment horizontal="right"/>
      <protection hidden="1"/>
    </xf>
    <xf numFmtId="0" fontId="31" fillId="0" borderId="0" xfId="0" applyFont="1" applyProtection="1">
      <protection hidden="1"/>
    </xf>
    <xf numFmtId="0" fontId="30" fillId="14" borderId="0" xfId="0" applyFont="1" applyFill="1" applyBorder="1" applyProtection="1">
      <protection hidden="1"/>
    </xf>
    <xf numFmtId="0" fontId="25" fillId="14" borderId="0" xfId="3" applyFont="1" applyFill="1" applyBorder="1" applyAlignment="1" applyProtection="1">
      <alignment horizontal="left" vertical="center" wrapText="1"/>
      <protection hidden="1"/>
    </xf>
    <xf numFmtId="170" fontId="37" fillId="14" borderId="0" xfId="3" applyNumberFormat="1" applyFont="1" applyFill="1" applyBorder="1" applyAlignment="1" applyProtection="1">
      <alignment horizontal="center" vertical="center" wrapText="1"/>
      <protection hidden="1"/>
    </xf>
    <xf numFmtId="164" fontId="25" fillId="9" borderId="24" xfId="3" applyNumberFormat="1" applyFont="1" applyFill="1" applyBorder="1" applyAlignment="1" applyProtection="1">
      <alignment horizontal="center" vertical="center" wrapText="1"/>
      <protection hidden="1"/>
    </xf>
    <xf numFmtId="165" fontId="28" fillId="12" borderId="42" xfId="3" applyNumberFormat="1" applyFont="1" applyFill="1" applyBorder="1" applyAlignment="1" applyProtection="1">
      <alignment horizontal="center" wrapText="1"/>
      <protection hidden="1"/>
    </xf>
    <xf numFmtId="1" fontId="26" fillId="14" borderId="11" xfId="0" applyNumberFormat="1" applyFont="1" applyFill="1" applyBorder="1" applyProtection="1">
      <protection hidden="1"/>
    </xf>
    <xf numFmtId="0" fontId="42" fillId="15" borderId="0" xfId="4" applyFont="1" applyFill="1" applyBorder="1" applyAlignment="1" applyProtection="1">
      <alignment horizontal="right" vertical="center"/>
      <protection hidden="1"/>
    </xf>
    <xf numFmtId="165" fontId="42" fillId="15" borderId="0" xfId="5" applyNumberFormat="1" applyFont="1" applyFill="1" applyBorder="1" applyAlignment="1" applyProtection="1">
      <alignment horizontal="left"/>
      <protection hidden="1"/>
    </xf>
    <xf numFmtId="15" fontId="42" fillId="15" borderId="0" xfId="4" applyNumberFormat="1" applyFont="1" applyFill="1" applyBorder="1" applyAlignment="1" applyProtection="1">
      <alignment horizontal="center" vertical="center"/>
      <protection hidden="1"/>
    </xf>
    <xf numFmtId="0" fontId="42" fillId="15" borderId="0" xfId="4" applyFont="1" applyFill="1" applyBorder="1" applyAlignment="1" applyProtection="1">
      <alignment horizontal="right" vertical="center" wrapText="1"/>
      <protection hidden="1"/>
    </xf>
    <xf numFmtId="165" fontId="42" fillId="15" borderId="0" xfId="5" applyNumberFormat="1" applyFont="1" applyFill="1" applyBorder="1" applyAlignment="1" applyProtection="1">
      <alignment horizontal="center" vertical="center" wrapText="1"/>
      <protection hidden="1"/>
    </xf>
    <xf numFmtId="165" fontId="47" fillId="15" borderId="0" xfId="5" applyNumberFormat="1" applyFont="1" applyFill="1" applyBorder="1" applyAlignment="1" applyProtection="1">
      <alignment horizontal="center" wrapText="1"/>
      <protection hidden="1"/>
    </xf>
    <xf numFmtId="0" fontId="42" fillId="15" borderId="0" xfId="4" applyFont="1" applyFill="1" applyBorder="1" applyAlignment="1" applyProtection="1">
      <alignment horizontal="center" vertical="center"/>
      <protection hidden="1"/>
    </xf>
    <xf numFmtId="0" fontId="23" fillId="15" borderId="0" xfId="0" applyFont="1" applyFill="1" applyBorder="1" applyAlignment="1" applyProtection="1">
      <alignment vertical="top"/>
      <protection hidden="1"/>
    </xf>
    <xf numFmtId="0" fontId="23" fillId="15" borderId="0" xfId="0" applyNumberFormat="1" applyFont="1" applyFill="1" applyBorder="1" applyAlignment="1" applyProtection="1">
      <alignment wrapText="1"/>
      <protection hidden="1"/>
    </xf>
    <xf numFmtId="0" fontId="23" fillId="15" borderId="0" xfId="4" applyNumberFormat="1" applyFont="1" applyFill="1" applyBorder="1" applyAlignment="1" applyProtection="1">
      <alignment vertical="center" wrapText="1"/>
      <protection hidden="1"/>
    </xf>
    <xf numFmtId="0" fontId="23" fillId="15" borderId="0" xfId="0" applyFont="1" applyFill="1" applyAlignment="1" applyProtection="1">
      <protection hidden="1"/>
    </xf>
    <xf numFmtId="2" fontId="53" fillId="15" borderId="0" xfId="0" applyNumberFormat="1" applyFont="1" applyFill="1" applyBorder="1" applyProtection="1">
      <protection hidden="1"/>
    </xf>
    <xf numFmtId="0" fontId="23" fillId="0" borderId="0" xfId="0" applyFont="1" applyProtection="1">
      <protection hidden="1"/>
    </xf>
    <xf numFmtId="170" fontId="23" fillId="15" borderId="0" xfId="0" applyNumberFormat="1" applyFont="1" applyFill="1" applyBorder="1" applyAlignment="1" applyProtection="1">
      <protection hidden="1"/>
    </xf>
    <xf numFmtId="2" fontId="59" fillId="15" borderId="0" xfId="5" applyNumberFormat="1" applyFont="1" applyFill="1" applyBorder="1" applyAlignment="1" applyProtection="1">
      <alignment horizontal="center" wrapText="1"/>
      <protection hidden="1"/>
    </xf>
    <xf numFmtId="0" fontId="3" fillId="0" borderId="0" xfId="0" applyFont="1" applyFill="1" applyProtection="1">
      <protection hidden="1"/>
    </xf>
    <xf numFmtId="0" fontId="3" fillId="0" borderId="0" xfId="0" applyFont="1" applyProtection="1">
      <protection hidden="1"/>
    </xf>
    <xf numFmtId="168" fontId="63" fillId="15" borderId="0" xfId="0" applyNumberFormat="1" applyFont="1" applyFill="1" applyBorder="1" applyProtection="1">
      <protection hidden="1"/>
    </xf>
    <xf numFmtId="168" fontId="63" fillId="15" borderId="0" xfId="0" applyNumberFormat="1" applyFont="1" applyFill="1" applyProtection="1">
      <protection hidden="1"/>
    </xf>
    <xf numFmtId="168" fontId="64" fillId="15" borderId="0" xfId="5" applyNumberFormat="1" applyFont="1" applyFill="1" applyBorder="1" applyAlignment="1" applyProtection="1">
      <alignment horizontal="center" wrapText="1"/>
      <protection hidden="1"/>
    </xf>
    <xf numFmtId="0" fontId="3" fillId="0" borderId="0" xfId="0" applyNumberFormat="1" applyFont="1" applyProtection="1">
      <protection hidden="1"/>
    </xf>
    <xf numFmtId="164" fontId="3" fillId="0" borderId="0" xfId="0" applyNumberFormat="1" applyFont="1" applyProtection="1">
      <protection hidden="1"/>
    </xf>
    <xf numFmtId="0" fontId="5" fillId="6" borderId="2" xfId="0" applyFont="1" applyFill="1" applyBorder="1" applyAlignment="1" applyProtection="1">
      <alignment horizontal="center" wrapText="1"/>
    </xf>
    <xf numFmtId="0" fontId="5" fillId="6" borderId="3" xfId="0" applyFont="1" applyFill="1" applyBorder="1" applyAlignment="1" applyProtection="1">
      <alignment horizontal="center" wrapText="1"/>
    </xf>
    <xf numFmtId="0" fontId="5" fillId="6" borderId="4" xfId="0" applyFont="1" applyFill="1" applyBorder="1" applyAlignment="1" applyProtection="1">
      <alignment horizontal="center" wrapText="1"/>
    </xf>
    <xf numFmtId="0" fontId="60" fillId="7" borderId="5" xfId="0" applyFont="1" applyFill="1" applyBorder="1" applyAlignment="1" applyProtection="1">
      <alignment horizontal="center" wrapText="1"/>
    </xf>
    <xf numFmtId="0" fontId="60" fillId="7" borderId="0" xfId="0" applyFont="1" applyFill="1" applyBorder="1" applyAlignment="1" applyProtection="1">
      <alignment horizontal="center" wrapText="1"/>
    </xf>
    <xf numFmtId="0" fontId="60" fillId="7" borderId="6" xfId="0" applyFont="1" applyFill="1" applyBorder="1" applyAlignment="1" applyProtection="1">
      <alignment horizontal="center" wrapText="1"/>
    </xf>
    <xf numFmtId="0" fontId="25" fillId="9" borderId="7" xfId="3" applyFont="1" applyFill="1" applyBorder="1" applyAlignment="1" applyProtection="1">
      <alignment horizontal="left" vertical="center" wrapText="1"/>
      <protection hidden="1"/>
    </xf>
    <xf numFmtId="0" fontId="25" fillId="9" borderId="8" xfId="3" applyFont="1" applyFill="1" applyBorder="1" applyAlignment="1" applyProtection="1">
      <alignment horizontal="left" vertical="center" wrapText="1"/>
      <protection hidden="1"/>
    </xf>
    <xf numFmtId="0" fontId="25" fillId="9" borderId="9" xfId="3" applyFont="1" applyFill="1" applyBorder="1" applyAlignment="1" applyProtection="1">
      <alignment horizontal="left" vertical="center" wrapText="1"/>
      <protection hidden="1"/>
    </xf>
    <xf numFmtId="0" fontId="25" fillId="10" borderId="33" xfId="3" applyFont="1" applyFill="1" applyBorder="1" applyAlignment="1" applyProtection="1">
      <alignment horizontal="center" vertical="center" wrapText="1"/>
      <protection locked="0"/>
    </xf>
    <xf numFmtId="0" fontId="25" fillId="10" borderId="10" xfId="3" applyFont="1" applyFill="1" applyBorder="1" applyAlignment="1" applyProtection="1">
      <alignment horizontal="center" vertical="center" wrapText="1"/>
      <protection locked="0"/>
    </xf>
    <xf numFmtId="0" fontId="14" fillId="14" borderId="0" xfId="0" applyFont="1" applyFill="1" applyBorder="1" applyAlignment="1" applyProtection="1">
      <alignment horizontal="left" vertical="top" wrapText="1"/>
      <protection hidden="1"/>
    </xf>
    <xf numFmtId="0" fontId="25" fillId="9" borderId="12" xfId="3" applyFont="1" applyFill="1" applyBorder="1" applyAlignment="1" applyProtection="1">
      <alignment horizontal="left" vertical="center" wrapText="1"/>
      <protection hidden="1"/>
    </xf>
    <xf numFmtId="0" fontId="25" fillId="9" borderId="13" xfId="3" applyFont="1" applyFill="1" applyBorder="1" applyAlignment="1" applyProtection="1">
      <alignment horizontal="left" vertical="center" wrapText="1"/>
      <protection hidden="1"/>
    </xf>
    <xf numFmtId="0" fontId="25" fillId="9" borderId="14" xfId="3" applyFont="1" applyFill="1" applyBorder="1" applyAlignment="1" applyProtection="1">
      <alignment horizontal="left" vertical="center" wrapText="1"/>
      <protection hidden="1"/>
    </xf>
    <xf numFmtId="0" fontId="25" fillId="9" borderId="18" xfId="3" applyFont="1" applyFill="1" applyBorder="1" applyAlignment="1" applyProtection="1">
      <alignment horizontal="left" vertical="center" wrapText="1"/>
      <protection hidden="1"/>
    </xf>
    <xf numFmtId="0" fontId="25" fillId="9" borderId="19" xfId="3" applyFont="1" applyFill="1" applyBorder="1" applyAlignment="1" applyProtection="1">
      <alignment horizontal="left" vertical="center" wrapText="1"/>
      <protection hidden="1"/>
    </xf>
    <xf numFmtId="0" fontId="25" fillId="9" borderId="20" xfId="3" applyFont="1" applyFill="1" applyBorder="1" applyAlignment="1" applyProtection="1">
      <alignment horizontal="left" vertical="center" wrapText="1"/>
      <protection hidden="1"/>
    </xf>
    <xf numFmtId="164" fontId="25" fillId="9" borderId="15" xfId="3" applyNumberFormat="1" applyFont="1" applyFill="1" applyBorder="1" applyAlignment="1" applyProtection="1">
      <alignment horizontal="right" wrapText="1"/>
      <protection hidden="1"/>
    </xf>
    <xf numFmtId="164" fontId="25" fillId="9" borderId="16" xfId="3" applyNumberFormat="1" applyFont="1" applyFill="1" applyBorder="1" applyAlignment="1" applyProtection="1">
      <alignment horizontal="right" wrapText="1"/>
      <protection hidden="1"/>
    </xf>
    <xf numFmtId="0" fontId="25" fillId="9" borderId="21" xfId="3" applyFont="1" applyFill="1" applyBorder="1" applyAlignment="1" applyProtection="1">
      <alignment horizontal="right" wrapText="1"/>
      <protection hidden="1"/>
    </xf>
    <xf numFmtId="0" fontId="25" fillId="9" borderId="22" xfId="3" applyFont="1" applyFill="1" applyBorder="1" applyAlignment="1" applyProtection="1">
      <alignment horizontal="right" wrapText="1"/>
      <protection hidden="1"/>
    </xf>
    <xf numFmtId="15" fontId="42" fillId="15" borderId="0" xfId="4" applyNumberFormat="1" applyFont="1" applyFill="1" applyBorder="1" applyAlignment="1" applyProtection="1">
      <alignment horizontal="center" vertical="center" wrapText="1"/>
      <protection hidden="1"/>
    </xf>
    <xf numFmtId="0" fontId="42" fillId="15" borderId="0" xfId="4" applyFont="1" applyFill="1" applyBorder="1" applyAlignment="1" applyProtection="1">
      <alignment horizontal="right" vertical="center"/>
      <protection hidden="1"/>
    </xf>
    <xf numFmtId="165" fontId="44" fillId="15" borderId="0" xfId="5" applyNumberFormat="1" applyFont="1" applyFill="1" applyBorder="1" applyAlignment="1" applyProtection="1">
      <alignment horizontal="center"/>
      <protection hidden="1"/>
    </xf>
    <xf numFmtId="165" fontId="42" fillId="15" borderId="0" xfId="5" applyNumberFormat="1" applyFont="1" applyFill="1" applyBorder="1" applyAlignment="1" applyProtection="1">
      <alignment horizontal="left"/>
      <protection hidden="1"/>
    </xf>
    <xf numFmtId="15" fontId="24" fillId="11" borderId="26" xfId="4" applyNumberFormat="1" applyFont="1" applyFill="1" applyBorder="1" applyAlignment="1" applyProtection="1">
      <alignment horizontal="center" vertical="center" wrapText="1"/>
      <protection hidden="1"/>
    </xf>
    <xf numFmtId="15" fontId="24" fillId="11" borderId="27" xfId="4" applyNumberFormat="1" applyFont="1" applyFill="1" applyBorder="1" applyAlignment="1" applyProtection="1">
      <alignment horizontal="center" vertical="center" wrapText="1"/>
      <protection hidden="1"/>
    </xf>
    <xf numFmtId="164" fontId="25" fillId="9" borderId="36" xfId="3" applyNumberFormat="1" applyFont="1" applyFill="1" applyBorder="1" applyAlignment="1" applyProtection="1">
      <alignment horizontal="right" vertical="center" wrapText="1"/>
      <protection hidden="1"/>
    </xf>
    <xf numFmtId="164" fontId="25" fillId="9" borderId="37" xfId="3" applyNumberFormat="1" applyFont="1" applyFill="1" applyBorder="1" applyAlignment="1" applyProtection="1">
      <alignment horizontal="right" vertical="center" wrapText="1"/>
      <protection hidden="1"/>
    </xf>
    <xf numFmtId="164" fontId="25" fillId="9" borderId="34" xfId="3" applyNumberFormat="1" applyFont="1" applyFill="1" applyBorder="1" applyAlignment="1" applyProtection="1">
      <alignment horizontal="right" vertical="center" wrapText="1"/>
      <protection hidden="1"/>
    </xf>
    <xf numFmtId="164" fontId="25" fillId="9" borderId="35" xfId="3" applyNumberFormat="1" applyFont="1" applyFill="1" applyBorder="1" applyAlignment="1" applyProtection="1">
      <alignment horizontal="right" vertical="center" wrapText="1"/>
      <protection hidden="1"/>
    </xf>
    <xf numFmtId="0" fontId="28" fillId="12" borderId="0" xfId="0" applyFont="1" applyFill="1" applyBorder="1" applyAlignment="1" applyProtection="1">
      <alignment horizontal="right" wrapText="1"/>
      <protection hidden="1"/>
    </xf>
    <xf numFmtId="0" fontId="13" fillId="6" borderId="0" xfId="0" applyFont="1" applyFill="1" applyBorder="1" applyAlignment="1" applyProtection="1">
      <alignment horizontal="center" wrapText="1"/>
      <protection hidden="1"/>
    </xf>
    <xf numFmtId="165" fontId="16" fillId="14" borderId="0" xfId="4" applyNumberFormat="1" applyFont="1" applyFill="1" applyBorder="1" applyAlignment="1" applyProtection="1">
      <alignment horizontal="center" vertical="center" wrapText="1"/>
      <protection hidden="1"/>
    </xf>
    <xf numFmtId="170" fontId="29" fillId="9" borderId="0" xfId="0" applyNumberFormat="1" applyFont="1" applyFill="1" applyBorder="1" applyAlignment="1" applyProtection="1">
      <alignment horizontal="center"/>
      <protection hidden="1"/>
    </xf>
    <xf numFmtId="15" fontId="19" fillId="13" borderId="0" xfId="4" applyNumberFormat="1" applyFont="1" applyFill="1" applyBorder="1" applyAlignment="1" applyProtection="1">
      <alignment horizontal="right" vertical="center" wrapText="1"/>
      <protection hidden="1"/>
    </xf>
    <xf numFmtId="15" fontId="16" fillId="13" borderId="0" xfId="4" applyNumberFormat="1" applyFont="1" applyFill="1" applyBorder="1" applyAlignment="1" applyProtection="1">
      <alignment horizontal="right" vertical="center" wrapText="1"/>
      <protection hidden="1"/>
    </xf>
    <xf numFmtId="0" fontId="13" fillId="6" borderId="2" xfId="0" applyFont="1" applyFill="1" applyBorder="1" applyAlignment="1" applyProtection="1">
      <alignment horizontal="center" wrapText="1"/>
      <protection hidden="1"/>
    </xf>
    <xf numFmtId="0" fontId="13" fillId="6" borderId="3" xfId="0" applyFont="1" applyFill="1" applyBorder="1" applyAlignment="1" applyProtection="1">
      <alignment horizontal="center" wrapText="1"/>
      <protection hidden="1"/>
    </xf>
    <xf numFmtId="15" fontId="42" fillId="15" borderId="0" xfId="4" applyNumberFormat="1" applyFont="1" applyFill="1" applyBorder="1" applyAlignment="1" applyProtection="1">
      <alignment horizontal="center" vertical="center"/>
      <protection hidden="1"/>
    </xf>
    <xf numFmtId="0" fontId="42" fillId="15" borderId="0" xfId="4" applyFont="1" applyFill="1" applyBorder="1" applyAlignment="1" applyProtection="1">
      <alignment horizontal="right" vertical="center" wrapText="1"/>
      <protection hidden="1"/>
    </xf>
    <xf numFmtId="165" fontId="42" fillId="15" borderId="0" xfId="5" applyNumberFormat="1" applyFont="1" applyFill="1" applyBorder="1" applyAlignment="1" applyProtection="1">
      <alignment horizontal="center" vertical="center" wrapText="1"/>
      <protection hidden="1"/>
    </xf>
    <xf numFmtId="165" fontId="16" fillId="14" borderId="0" xfId="5" applyNumberFormat="1" applyFont="1" applyFill="1" applyBorder="1" applyAlignment="1" applyProtection="1">
      <alignment horizontal="left"/>
      <protection hidden="1"/>
    </xf>
    <xf numFmtId="0" fontId="16" fillId="9" borderId="0" xfId="4" applyFont="1" applyFill="1" applyBorder="1" applyAlignment="1" applyProtection="1">
      <alignment horizontal="right" vertical="center" wrapText="1"/>
      <protection hidden="1"/>
    </xf>
    <xf numFmtId="0" fontId="16" fillId="9" borderId="0" xfId="4" applyFont="1" applyFill="1" applyBorder="1" applyAlignment="1" applyProtection="1">
      <alignment horizontal="right" vertical="center"/>
      <protection hidden="1"/>
    </xf>
    <xf numFmtId="165" fontId="19" fillId="9" borderId="0" xfId="4" applyNumberFormat="1" applyFont="1" applyFill="1" applyBorder="1" applyAlignment="1" applyProtection="1">
      <alignment horizontal="right" vertical="center" wrapText="1"/>
      <protection hidden="1"/>
    </xf>
    <xf numFmtId="165" fontId="19" fillId="13" borderId="0" xfId="4" applyNumberFormat="1" applyFont="1" applyFill="1" applyBorder="1" applyAlignment="1" applyProtection="1">
      <alignment horizontal="right" vertical="center" wrapText="1"/>
      <protection hidden="1"/>
    </xf>
    <xf numFmtId="0" fontId="12" fillId="11" borderId="5" xfId="0" applyFont="1" applyFill="1" applyBorder="1" applyAlignment="1" applyProtection="1">
      <alignment horizontal="left" wrapText="1"/>
      <protection hidden="1"/>
    </xf>
    <xf numFmtId="0" fontId="12" fillId="11" borderId="0" xfId="0" applyFont="1" applyFill="1" applyBorder="1" applyAlignment="1" applyProtection="1">
      <alignment horizontal="left" wrapText="1"/>
      <protection hidden="1"/>
    </xf>
    <xf numFmtId="15" fontId="19" fillId="14" borderId="0" xfId="4" applyNumberFormat="1" applyFont="1" applyFill="1" applyBorder="1" applyAlignment="1" applyProtection="1">
      <alignment horizontal="right" vertical="center" wrapText="1"/>
      <protection hidden="1"/>
    </xf>
    <xf numFmtId="165" fontId="47" fillId="15" borderId="0" xfId="5" applyNumberFormat="1" applyFont="1" applyFill="1" applyBorder="1" applyAlignment="1" applyProtection="1">
      <alignment horizontal="center" wrapText="1"/>
      <protection hidden="1"/>
    </xf>
    <xf numFmtId="44" fontId="44" fillId="15" borderId="0" xfId="5" applyNumberFormat="1" applyFont="1" applyFill="1" applyBorder="1" applyAlignment="1" applyProtection="1">
      <alignment horizontal="center"/>
      <protection hidden="1"/>
    </xf>
    <xf numFmtId="0" fontId="42" fillId="15" borderId="0" xfId="4" applyFont="1" applyFill="1" applyBorder="1" applyAlignment="1" applyProtection="1">
      <alignment horizontal="center" vertical="center"/>
      <protection hidden="1"/>
    </xf>
    <xf numFmtId="165" fontId="46" fillId="15" borderId="0" xfId="1" applyNumberFormat="1" applyFont="1" applyFill="1" applyBorder="1" applyAlignment="1" applyProtection="1">
      <alignment horizontal="center" wrapText="1"/>
      <protection hidden="1"/>
    </xf>
    <xf numFmtId="44" fontId="3" fillId="15" borderId="0" xfId="1" applyFont="1" applyFill="1" applyBorder="1" applyAlignment="1" applyProtection="1">
      <alignment horizontal="center"/>
      <protection hidden="1"/>
    </xf>
    <xf numFmtId="165" fontId="45" fillId="15" borderId="0" xfId="1" applyNumberFormat="1" applyFont="1" applyFill="1" applyBorder="1" applyAlignment="1" applyProtection="1">
      <alignment horizontal="center" wrapText="1"/>
      <protection hidden="1"/>
    </xf>
    <xf numFmtId="0" fontId="42" fillId="15" borderId="0" xfId="4" applyFont="1" applyFill="1" applyBorder="1" applyAlignment="1" applyProtection="1">
      <alignment horizontal="center" vertical="center" wrapText="1"/>
      <protection hidden="1"/>
    </xf>
    <xf numFmtId="9" fontId="42" fillId="15" borderId="0" xfId="4" applyNumberFormat="1" applyFont="1" applyFill="1" applyBorder="1" applyAlignment="1" applyProtection="1">
      <alignment horizontal="right" vertical="center"/>
      <protection hidden="1"/>
    </xf>
    <xf numFmtId="165" fontId="44" fillId="15" borderId="0" xfId="1" applyNumberFormat="1" applyFont="1" applyFill="1" applyBorder="1" applyAlignment="1" applyProtection="1">
      <alignment horizontal="center"/>
      <protection hidden="1"/>
    </xf>
    <xf numFmtId="0" fontId="22" fillId="9" borderId="0" xfId="4" applyFont="1" applyFill="1" applyBorder="1" applyAlignment="1" applyProtection="1">
      <alignment horizontal="right" vertical="center" wrapText="1"/>
      <protection hidden="1"/>
    </xf>
    <xf numFmtId="15" fontId="16" fillId="14" borderId="0" xfId="4" applyNumberFormat="1" applyFont="1" applyFill="1" applyBorder="1" applyAlignment="1" applyProtection="1">
      <alignment horizontal="right" vertical="center" wrapText="1"/>
      <protection hidden="1"/>
    </xf>
    <xf numFmtId="171" fontId="29" fillId="9" borderId="0" xfId="0" applyNumberFormat="1" applyFont="1" applyFill="1" applyBorder="1" applyAlignment="1" applyProtection="1">
      <alignment horizontal="center"/>
      <protection hidden="1"/>
    </xf>
    <xf numFmtId="0" fontId="28" fillId="12" borderId="32" xfId="0" applyFont="1" applyFill="1" applyBorder="1" applyAlignment="1" applyProtection="1">
      <alignment horizontal="right" wrapText="1"/>
      <protection hidden="1"/>
    </xf>
    <xf numFmtId="0" fontId="25" fillId="9" borderId="7" xfId="3" applyFont="1" applyFill="1" applyBorder="1" applyAlignment="1" applyProtection="1">
      <alignment horizontal="left" vertical="center" wrapText="1"/>
    </xf>
    <xf numFmtId="0" fontId="25" fillId="9" borderId="8" xfId="3" applyFont="1" applyFill="1" applyBorder="1" applyAlignment="1" applyProtection="1">
      <alignment horizontal="left" vertical="center" wrapText="1"/>
    </xf>
    <xf numFmtId="165" fontId="20" fillId="0" borderId="0" xfId="5" applyNumberFormat="1" applyFont="1" applyFill="1" applyBorder="1" applyAlignment="1" applyProtection="1">
      <alignment horizontal="center"/>
      <protection hidden="1"/>
    </xf>
    <xf numFmtId="165" fontId="16" fillId="0" borderId="0" xfId="5" applyNumberFormat="1" applyFont="1" applyFill="1" applyBorder="1" applyAlignment="1" applyProtection="1">
      <alignment horizontal="left"/>
      <protection hidden="1"/>
    </xf>
    <xf numFmtId="165" fontId="21" fillId="14" borderId="0" xfId="5" applyNumberFormat="1" applyFont="1" applyFill="1" applyBorder="1" applyAlignment="1" applyProtection="1">
      <alignment horizontal="center" wrapText="1"/>
      <protection hidden="1"/>
    </xf>
    <xf numFmtId="165" fontId="21" fillId="0" borderId="0" xfId="5" applyNumberFormat="1" applyFont="1" applyFill="1" applyBorder="1" applyAlignment="1" applyProtection="1">
      <alignment horizontal="center" wrapText="1"/>
      <protection hidden="1"/>
    </xf>
    <xf numFmtId="165" fontId="20" fillId="0" borderId="0" xfId="1" applyNumberFormat="1" applyFont="1" applyFill="1" applyBorder="1" applyAlignment="1" applyProtection="1">
      <alignment horizontal="center"/>
      <protection hidden="1"/>
    </xf>
    <xf numFmtId="0" fontId="16" fillId="0" borderId="0" xfId="4" applyFont="1" applyFill="1" applyBorder="1" applyAlignment="1" applyProtection="1">
      <alignment horizontal="right" vertical="center"/>
      <protection hidden="1"/>
    </xf>
    <xf numFmtId="0" fontId="16" fillId="0" borderId="0" xfId="4" applyFont="1" applyFill="1" applyBorder="1" applyAlignment="1" applyProtection="1">
      <alignment horizontal="left" vertical="center" wrapText="1"/>
      <protection hidden="1"/>
    </xf>
    <xf numFmtId="0" fontId="16" fillId="0" borderId="0" xfId="4" applyNumberFormat="1" applyFont="1" applyFill="1" applyBorder="1" applyAlignment="1" applyProtection="1">
      <alignment horizontal="center" vertical="center"/>
      <protection hidden="1"/>
    </xf>
    <xf numFmtId="0" fontId="16" fillId="13" borderId="0" xfId="4" applyFont="1" applyFill="1" applyBorder="1" applyAlignment="1" applyProtection="1">
      <alignment horizontal="right" vertical="center"/>
      <protection hidden="1"/>
    </xf>
    <xf numFmtId="165" fontId="19" fillId="13" borderId="0" xfId="5" applyNumberFormat="1" applyFont="1" applyFill="1" applyBorder="1" applyAlignment="1" applyProtection="1">
      <alignment horizontal="center"/>
      <protection hidden="1"/>
    </xf>
    <xf numFmtId="165" fontId="19" fillId="9" borderId="0" xfId="5" applyNumberFormat="1" applyFont="1" applyFill="1" applyBorder="1" applyAlignment="1" applyProtection="1">
      <alignment horizontal="center"/>
      <protection hidden="1"/>
    </xf>
    <xf numFmtId="15" fontId="16" fillId="0" borderId="0" xfId="4" applyNumberFormat="1" applyFont="1" applyFill="1" applyBorder="1" applyAlignment="1" applyProtection="1">
      <alignment horizontal="center" vertical="center"/>
      <protection hidden="1"/>
    </xf>
    <xf numFmtId="165" fontId="16" fillId="0" borderId="0" xfId="5" applyNumberFormat="1" applyFont="1" applyFill="1" applyBorder="1" applyAlignment="1" applyProtection="1">
      <alignment horizontal="center" vertical="center" wrapText="1"/>
      <protection hidden="1"/>
    </xf>
    <xf numFmtId="165" fontId="20" fillId="0" borderId="0" xfId="1" applyNumberFormat="1" applyFont="1" applyFill="1" applyBorder="1" applyAlignment="1" applyProtection="1">
      <alignment horizontal="right"/>
      <protection hidden="1"/>
    </xf>
    <xf numFmtId="0" fontId="16" fillId="0" borderId="0" xfId="4" applyFont="1" applyFill="1" applyBorder="1" applyAlignment="1" applyProtection="1">
      <alignment horizontal="right" vertical="center" wrapText="1"/>
      <protection hidden="1"/>
    </xf>
    <xf numFmtId="15" fontId="16" fillId="0" borderId="0" xfId="4" applyNumberFormat="1" applyFont="1" applyFill="1" applyBorder="1" applyAlignment="1" applyProtection="1">
      <alignment horizontal="center" vertical="center" wrapText="1"/>
      <protection hidden="1"/>
    </xf>
    <xf numFmtId="0" fontId="16" fillId="13" borderId="0" xfId="4" applyFont="1" applyFill="1" applyBorder="1" applyAlignment="1" applyProtection="1">
      <alignment horizontal="right" vertical="center" wrapText="1"/>
      <protection hidden="1"/>
    </xf>
    <xf numFmtId="0" fontId="23" fillId="15" borderId="0" xfId="0" applyFont="1" applyFill="1" applyAlignment="1" applyProtection="1">
      <alignment horizontal="center"/>
      <protection hidden="1"/>
    </xf>
    <xf numFmtId="164" fontId="25" fillId="9" borderId="24" xfId="3" applyNumberFormat="1" applyFont="1" applyFill="1" applyBorder="1" applyAlignment="1" applyProtection="1">
      <alignment horizontal="right" vertical="center" wrapText="1"/>
      <protection hidden="1"/>
    </xf>
    <xf numFmtId="164" fontId="25" fillId="9" borderId="1" xfId="3" applyNumberFormat="1" applyFont="1" applyFill="1" applyBorder="1" applyAlignment="1" applyProtection="1">
      <alignment horizontal="right" vertical="center" wrapText="1"/>
      <protection hidden="1"/>
    </xf>
    <xf numFmtId="165" fontId="21" fillId="14" borderId="0" xfId="5" applyNumberFormat="1" applyFont="1" applyFill="1" applyBorder="1" applyAlignment="1" applyProtection="1">
      <alignment horizontal="center" vertical="center" wrapText="1"/>
      <protection hidden="1"/>
    </xf>
    <xf numFmtId="165" fontId="16" fillId="14" borderId="0" xfId="5" applyNumberFormat="1" applyFont="1" applyFill="1" applyBorder="1" applyAlignment="1" applyProtection="1">
      <alignment horizontal="center" vertical="center" wrapText="1"/>
      <protection hidden="1"/>
    </xf>
    <xf numFmtId="0" fontId="12" fillId="11" borderId="5" xfId="0" applyFont="1" applyFill="1" applyBorder="1" applyAlignment="1" applyProtection="1">
      <alignment horizontal="center" wrapText="1"/>
      <protection hidden="1"/>
    </xf>
    <xf numFmtId="0" fontId="12" fillId="11" borderId="0" xfId="0" applyFont="1" applyFill="1" applyBorder="1" applyAlignment="1" applyProtection="1">
      <alignment horizontal="center" wrapText="1"/>
      <protection hidden="1"/>
    </xf>
    <xf numFmtId="170" fontId="65" fillId="10" borderId="29" xfId="3" applyNumberFormat="1" applyFont="1" applyFill="1" applyBorder="1" applyAlignment="1" applyProtection="1">
      <alignment horizontal="center" vertical="center" wrapText="1"/>
      <protection locked="0"/>
    </xf>
  </cellXfs>
  <cellStyles count="10">
    <cellStyle name="20% - Accent1" xfId="5" builtinId="30"/>
    <cellStyle name="60% - Accent1" xfId="6" builtinId="32"/>
    <cellStyle name="Accent1" xfId="4" builtinId="29"/>
    <cellStyle name="Currency" xfId="1" builtinId="4"/>
    <cellStyle name="Hyperlink" xfId="9" builtinId="8"/>
    <cellStyle name="Input" xfId="3" builtinId="20"/>
    <cellStyle name="Normal" xfId="0" builtinId="0"/>
    <cellStyle name="Normal 2" xfId="7" xr:uid="{00000000-0005-0000-0000-000007000000}"/>
    <cellStyle name="Normal 3" xfId="8" xr:uid="{00000000-0005-0000-0000-000008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workbookViewId="0"/>
  </sheetViews>
  <sheetFormatPr defaultRowHeight="15" x14ac:dyDescent="0.25"/>
  <sheetData>
    <row r="1" spans="1:11" ht="15.75" thickBot="1" x14ac:dyDescent="0.3"/>
    <row r="2" spans="1:11" ht="21.75" thickTop="1" x14ac:dyDescent="0.35">
      <c r="A2" s="312" t="s">
        <v>170</v>
      </c>
      <c r="B2" s="313"/>
      <c r="C2" s="313"/>
      <c r="D2" s="313"/>
      <c r="E2" s="313"/>
      <c r="F2" s="313"/>
      <c r="G2" s="313"/>
      <c r="H2" s="313"/>
      <c r="I2" s="313"/>
      <c r="J2" s="313"/>
      <c r="K2" s="314"/>
    </row>
    <row r="3" spans="1:11" x14ac:dyDescent="0.25">
      <c r="A3" s="183"/>
      <c r="B3" s="184"/>
      <c r="C3" s="184"/>
      <c r="D3" s="184"/>
      <c r="E3" s="184"/>
      <c r="F3" s="184"/>
      <c r="G3" s="184"/>
      <c r="H3" s="184"/>
      <c r="I3" s="184"/>
      <c r="J3" s="184"/>
      <c r="K3" s="185"/>
    </row>
    <row r="4" spans="1:11" ht="21" x14ac:dyDescent="0.35">
      <c r="A4" s="315" t="s">
        <v>171</v>
      </c>
      <c r="B4" s="316"/>
      <c r="C4" s="316"/>
      <c r="D4" s="316"/>
      <c r="E4" s="316"/>
      <c r="F4" s="316"/>
      <c r="G4" s="316"/>
      <c r="H4" s="316"/>
      <c r="I4" s="316"/>
      <c r="J4" s="316"/>
      <c r="K4" s="317"/>
    </row>
    <row r="5" spans="1:11" x14ac:dyDescent="0.25">
      <c r="A5" s="183"/>
      <c r="B5" s="184"/>
      <c r="C5" s="184"/>
      <c r="D5" s="184"/>
      <c r="E5" s="184"/>
      <c r="F5" s="184"/>
      <c r="G5" s="184"/>
      <c r="H5" s="184"/>
      <c r="I5" s="184"/>
      <c r="J5" s="184"/>
      <c r="K5" s="185"/>
    </row>
    <row r="6" spans="1:11" ht="21" x14ac:dyDescent="0.35">
      <c r="A6" s="190"/>
      <c r="B6" s="191" t="s">
        <v>172</v>
      </c>
      <c r="C6" s="192"/>
      <c r="D6" s="193" t="s">
        <v>173</v>
      </c>
      <c r="E6" s="192"/>
      <c r="F6" s="193" t="s">
        <v>174</v>
      </c>
      <c r="G6" s="192"/>
      <c r="H6" s="193" t="s">
        <v>175</v>
      </c>
      <c r="I6" s="192"/>
      <c r="J6" s="193" t="s">
        <v>176</v>
      </c>
      <c r="K6" s="186"/>
    </row>
    <row r="7" spans="1:11" ht="15.75" thickBot="1" x14ac:dyDescent="0.3">
      <c r="A7" s="187"/>
      <c r="B7" s="188" t="s">
        <v>177</v>
      </c>
      <c r="C7" s="188"/>
      <c r="D7" s="188" t="s">
        <v>178</v>
      </c>
      <c r="E7" s="188"/>
      <c r="F7" s="188" t="s">
        <v>179</v>
      </c>
      <c r="G7" s="188"/>
      <c r="H7" s="188" t="s">
        <v>180</v>
      </c>
      <c r="I7" s="188"/>
      <c r="J7" s="188" t="s">
        <v>181</v>
      </c>
      <c r="K7" s="189"/>
    </row>
    <row r="8" spans="1:11" ht="15.75" thickTop="1" x14ac:dyDescent="0.25"/>
  </sheetData>
  <mergeCells count="2">
    <mergeCell ref="A2:K2"/>
    <mergeCell ref="A4:K4"/>
  </mergeCells>
  <hyperlinks>
    <hyperlink ref="B6" location="'LP-01 ENG'!A1" display="LP-01" xr:uid="{00000000-0004-0000-0000-000000000000}"/>
    <hyperlink ref="D6" location="'LP-02 &amp; LP-03 ENG'!A1" display="LP-02" xr:uid="{00000000-0004-0000-0000-000001000000}"/>
    <hyperlink ref="F6" location="'LP-02 &amp; LP-03 ENG'!A1" display="LP-03" xr:uid="{00000000-0004-0000-0000-000002000000}"/>
    <hyperlink ref="H6" location="'LP-04 &amp; LP-05 ENG'!A1" display="LP-04" xr:uid="{00000000-0004-0000-0000-000003000000}"/>
    <hyperlink ref="J6" location="'LP-04 &amp; LP-05 ENG'!A1" display="LP-0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93"/>
  <sheetViews>
    <sheetView zoomScale="80" zoomScaleNormal="80" workbookViewId="0"/>
  </sheetViews>
  <sheetFormatPr defaultColWidth="8.85546875" defaultRowHeight="15" x14ac:dyDescent="0.25"/>
  <cols>
    <col min="1" max="1" width="3.7109375" style="236" customWidth="1"/>
    <col min="2" max="2" width="6.7109375" style="236" customWidth="1"/>
    <col min="3" max="3" width="17.7109375" style="236" customWidth="1"/>
    <col min="4" max="4" width="18.85546875" style="236" customWidth="1"/>
    <col min="5" max="5" width="12.28515625" style="236" customWidth="1"/>
    <col min="6" max="6" width="11.28515625" style="236" customWidth="1"/>
    <col min="7" max="7" width="10.42578125" style="236" customWidth="1"/>
    <col min="8" max="9" width="9.7109375" style="236" customWidth="1"/>
    <col min="10" max="10" width="21.28515625" style="236" customWidth="1"/>
    <col min="11" max="11" width="8.140625" style="236" customWidth="1"/>
    <col min="12" max="14" width="8.5703125" style="236" customWidth="1"/>
    <col min="15" max="15" width="3.28515625" style="236" customWidth="1"/>
    <col min="16" max="16" width="10.42578125" style="236" bestFit="1" customWidth="1"/>
    <col min="17" max="17" width="29.85546875" style="236" bestFit="1" customWidth="1"/>
    <col min="18" max="18" width="10.28515625" style="236" customWidth="1"/>
    <col min="19" max="20" width="11.5703125" style="236" bestFit="1" customWidth="1"/>
    <col min="21" max="23" width="11" style="236" bestFit="1" customWidth="1"/>
    <col min="24" max="27" width="10" style="236" bestFit="1" customWidth="1"/>
    <col min="28" max="28" width="8.85546875" style="236"/>
    <col min="29" max="29" width="9" style="236" bestFit="1" customWidth="1"/>
    <col min="30" max="30" width="16.85546875" style="236" bestFit="1" customWidth="1"/>
    <col min="31" max="31" width="16" style="236" bestFit="1" customWidth="1"/>
    <col min="32" max="32" width="9" style="236" bestFit="1" customWidth="1"/>
    <col min="33" max="16384" width="8.85546875" style="236"/>
  </cols>
  <sheetData>
    <row r="1" spans="1:15" ht="32.450000000000003" customHeight="1" thickTop="1" x14ac:dyDescent="0.35">
      <c r="A1" s="234"/>
      <c r="B1" s="350" t="s">
        <v>136</v>
      </c>
      <c r="C1" s="351"/>
      <c r="D1" s="351"/>
      <c r="E1" s="351"/>
      <c r="F1" s="351"/>
      <c r="G1" s="351"/>
      <c r="H1" s="351"/>
      <c r="I1" s="351"/>
      <c r="J1" s="351"/>
      <c r="K1" s="351"/>
      <c r="L1" s="351"/>
      <c r="M1" s="351"/>
      <c r="N1" s="351"/>
      <c r="O1" s="235"/>
    </row>
    <row r="2" spans="1:15" ht="55.15" customHeight="1" x14ac:dyDescent="0.25">
      <c r="A2" s="237"/>
      <c r="B2" s="360" t="s">
        <v>54</v>
      </c>
      <c r="C2" s="361"/>
      <c r="D2" s="361"/>
      <c r="E2" s="361"/>
      <c r="F2" s="361"/>
      <c r="G2" s="361"/>
      <c r="H2" s="361"/>
      <c r="I2" s="361"/>
      <c r="J2" s="361"/>
      <c r="K2" s="361"/>
      <c r="L2" s="361"/>
      <c r="M2" s="361"/>
      <c r="N2" s="361"/>
      <c r="O2" s="238"/>
    </row>
    <row r="3" spans="1:15" ht="21.6" customHeight="1" thickBot="1" x14ac:dyDescent="0.3">
      <c r="A3" s="237"/>
      <c r="B3" s="239"/>
      <c r="C3" s="40"/>
      <c r="D3" s="40"/>
      <c r="E3" s="40"/>
      <c r="F3" s="40"/>
      <c r="G3" s="40"/>
      <c r="H3" s="40"/>
      <c r="I3" s="40"/>
      <c r="J3" s="40"/>
      <c r="K3" s="40"/>
      <c r="L3" s="40"/>
      <c r="M3" s="40"/>
      <c r="N3" s="40"/>
      <c r="O3" s="240"/>
    </row>
    <row r="4" spans="1:15" ht="48" customHeight="1" thickTop="1" thickBot="1" x14ac:dyDescent="0.3">
      <c r="A4" s="241">
        <v>1</v>
      </c>
      <c r="B4" s="318" t="s">
        <v>55</v>
      </c>
      <c r="C4" s="319"/>
      <c r="D4" s="319"/>
      <c r="E4" s="319"/>
      <c r="F4" s="319"/>
      <c r="G4" s="319"/>
      <c r="H4" s="320"/>
      <c r="I4" s="321" t="s">
        <v>4</v>
      </c>
      <c r="J4" s="322"/>
      <c r="K4" s="40"/>
      <c r="L4" s="40"/>
      <c r="M4" s="40"/>
      <c r="N4" s="40"/>
      <c r="O4" s="240"/>
    </row>
    <row r="5" spans="1:15" ht="15.6" customHeight="1" thickTop="1" x14ac:dyDescent="0.25">
      <c r="A5" s="242"/>
      <c r="B5" s="239"/>
      <c r="C5" s="40"/>
      <c r="D5" s="203"/>
      <c r="E5" s="203"/>
      <c r="F5" s="203"/>
      <c r="G5" s="203"/>
      <c r="H5" s="203"/>
      <c r="I5" s="203"/>
      <c r="J5" s="203"/>
      <c r="K5" s="40"/>
      <c r="L5" s="40"/>
      <c r="M5" s="40"/>
      <c r="N5" s="40"/>
      <c r="O5" s="243"/>
    </row>
    <row r="6" spans="1:15" ht="14.45" customHeight="1" x14ac:dyDescent="0.25">
      <c r="A6" s="242"/>
      <c r="B6" s="202"/>
      <c r="C6" s="323" t="s">
        <v>126</v>
      </c>
      <c r="D6" s="323"/>
      <c r="E6" s="323"/>
      <c r="F6" s="323"/>
      <c r="G6" s="203"/>
      <c r="H6" s="203"/>
      <c r="I6" s="203"/>
      <c r="J6" s="203"/>
      <c r="K6" s="40"/>
      <c r="L6" s="40"/>
      <c r="M6" s="40"/>
      <c r="N6" s="194"/>
      <c r="O6" s="243"/>
    </row>
    <row r="7" spans="1:15" ht="15.6" customHeight="1" x14ac:dyDescent="0.25">
      <c r="A7" s="242"/>
      <c r="B7" s="204"/>
      <c r="C7" s="195">
        <f t="shared" ref="C7:J8" si="0">IF($I$4="Select",0,IF($I$4=$B$107,D108,IF($I$4=$B$117,D118)))</f>
        <v>0</v>
      </c>
      <c r="D7" s="195">
        <f t="shared" si="0"/>
        <v>0</v>
      </c>
      <c r="E7" s="195">
        <f t="shared" si="0"/>
        <v>0</v>
      </c>
      <c r="F7" s="195">
        <f t="shared" si="0"/>
        <v>0</v>
      </c>
      <c r="G7" s="195">
        <f t="shared" si="0"/>
        <v>0</v>
      </c>
      <c r="H7" s="195">
        <f t="shared" si="0"/>
        <v>0</v>
      </c>
      <c r="I7" s="195">
        <f t="shared" si="0"/>
        <v>0</v>
      </c>
      <c r="J7" s="195">
        <f t="shared" si="0"/>
        <v>0</v>
      </c>
      <c r="K7" s="195"/>
      <c r="L7" s="195"/>
      <c r="M7" s="195"/>
      <c r="N7" s="194"/>
      <c r="O7" s="243"/>
    </row>
    <row r="8" spans="1:15" ht="15.6" customHeight="1" x14ac:dyDescent="0.25">
      <c r="A8" s="242"/>
      <c r="B8" s="253" t="s">
        <v>4</v>
      </c>
      <c r="C8" s="35">
        <f t="shared" si="0"/>
        <v>0</v>
      </c>
      <c r="D8" s="35">
        <f t="shared" si="0"/>
        <v>0</v>
      </c>
      <c r="E8" s="35">
        <f t="shared" si="0"/>
        <v>0</v>
      </c>
      <c r="F8" s="35">
        <f t="shared" si="0"/>
        <v>0</v>
      </c>
      <c r="G8" s="35">
        <f t="shared" si="0"/>
        <v>0</v>
      </c>
      <c r="H8" s="35">
        <f t="shared" si="0"/>
        <v>0</v>
      </c>
      <c r="I8" s="35">
        <f t="shared" si="0"/>
        <v>0</v>
      </c>
      <c r="J8" s="35">
        <f t="shared" si="0"/>
        <v>0</v>
      </c>
      <c r="K8" s="40"/>
      <c r="L8" s="40"/>
      <c r="M8" s="40"/>
      <c r="N8" s="194"/>
      <c r="O8" s="243"/>
    </row>
    <row r="9" spans="1:15" ht="15.6" customHeight="1" x14ac:dyDescent="0.25">
      <c r="A9" s="242"/>
      <c r="B9" s="244"/>
      <c r="C9" s="40"/>
      <c r="D9" s="40"/>
      <c r="E9" s="40"/>
      <c r="F9" s="40"/>
      <c r="G9" s="40"/>
      <c r="H9" s="40"/>
      <c r="I9" s="40"/>
      <c r="J9" s="40"/>
      <c r="K9" s="40"/>
      <c r="L9" s="40"/>
      <c r="M9" s="40"/>
      <c r="N9" s="40"/>
      <c r="O9" s="243"/>
    </row>
    <row r="10" spans="1:15" ht="21.6" customHeight="1" thickBot="1" x14ac:dyDescent="0.3">
      <c r="A10" s="242"/>
      <c r="B10" s="239"/>
      <c r="C10" s="40"/>
      <c r="D10" s="40"/>
      <c r="E10" s="40"/>
      <c r="F10" s="40"/>
      <c r="G10" s="40"/>
      <c r="H10" s="40"/>
      <c r="I10" s="40"/>
      <c r="J10" s="40"/>
      <c r="K10" s="40"/>
      <c r="L10" s="40"/>
      <c r="M10" s="40"/>
      <c r="N10" s="40"/>
      <c r="O10" s="243"/>
    </row>
    <row r="11" spans="1:15" ht="42" customHeight="1" thickTop="1" thickBot="1" x14ac:dyDescent="0.3">
      <c r="A11" s="241">
        <v>2</v>
      </c>
      <c r="B11" s="318" t="s">
        <v>183</v>
      </c>
      <c r="C11" s="319"/>
      <c r="D11" s="319"/>
      <c r="E11" s="319"/>
      <c r="F11" s="319"/>
      <c r="G11" s="319"/>
      <c r="H11" s="319"/>
      <c r="I11" s="320"/>
      <c r="J11" s="254" t="s">
        <v>4</v>
      </c>
      <c r="K11" s="196"/>
      <c r="L11" s="40"/>
      <c r="M11" s="40"/>
      <c r="N11" s="40"/>
      <c r="O11" s="243"/>
    </row>
    <row r="12" spans="1:15" ht="21.6" customHeight="1" thickTop="1" thickBot="1" x14ac:dyDescent="0.3">
      <c r="A12" s="242"/>
      <c r="B12" s="239"/>
      <c r="C12" s="40"/>
      <c r="D12" s="40"/>
      <c r="E12" s="40"/>
      <c r="F12" s="40"/>
      <c r="G12" s="40"/>
      <c r="H12" s="40"/>
      <c r="I12" s="40"/>
      <c r="J12" s="40"/>
      <c r="K12" s="197"/>
      <c r="L12" s="197"/>
      <c r="M12" s="40"/>
      <c r="N12" s="40"/>
      <c r="O12" s="243"/>
    </row>
    <row r="13" spans="1:15" ht="33.6" customHeight="1" thickTop="1" x14ac:dyDescent="0.25">
      <c r="A13" s="241">
        <v>3</v>
      </c>
      <c r="B13" s="324" t="s">
        <v>5</v>
      </c>
      <c r="C13" s="325"/>
      <c r="D13" s="325"/>
      <c r="E13" s="325"/>
      <c r="F13" s="325"/>
      <c r="G13" s="326"/>
      <c r="H13" s="330" t="s">
        <v>6</v>
      </c>
      <c r="I13" s="331"/>
      <c r="J13" s="37" t="s">
        <v>44</v>
      </c>
      <c r="K13" s="198">
        <f>IF(J13="January",1,IF(J13="February",2,IF(J13="March",3,IF(J13="April",4,IF(J13="May",5,IF(J13="June",6,IF(J13="July",7,IF(J13="August",8,IF(J13="September",9,IF(J13="October",10,IF(J13="November",11,IF(J13="December",12))))))))))))</f>
        <v>5</v>
      </c>
      <c r="L13" s="199">
        <v>2018</v>
      </c>
      <c r="M13" s="199"/>
      <c r="N13" s="199"/>
      <c r="O13" s="243"/>
    </row>
    <row r="14" spans="1:15" ht="21.6" customHeight="1" thickBot="1" x14ac:dyDescent="0.3">
      <c r="A14" s="242"/>
      <c r="B14" s="327"/>
      <c r="C14" s="328"/>
      <c r="D14" s="328"/>
      <c r="E14" s="328"/>
      <c r="F14" s="328"/>
      <c r="G14" s="329"/>
      <c r="H14" s="332" t="s">
        <v>7</v>
      </c>
      <c r="I14" s="333"/>
      <c r="J14" s="38">
        <v>10</v>
      </c>
      <c r="K14" s="199"/>
      <c r="L14" s="199">
        <v>2019</v>
      </c>
      <c r="M14" s="199"/>
      <c r="N14" s="199"/>
      <c r="O14" s="243"/>
    </row>
    <row r="15" spans="1:15" ht="19.5" thickTop="1" thickBot="1" x14ac:dyDescent="0.3">
      <c r="A15" s="242"/>
      <c r="B15" s="40"/>
      <c r="C15" s="40"/>
      <c r="D15" s="40"/>
      <c r="E15" s="40"/>
      <c r="F15" s="40"/>
      <c r="G15" s="40"/>
      <c r="H15" s="40"/>
      <c r="I15" s="40"/>
      <c r="J15" s="40"/>
      <c r="K15" s="199"/>
      <c r="L15" s="199">
        <v>2020</v>
      </c>
      <c r="M15" s="199"/>
      <c r="N15" s="199"/>
      <c r="O15" s="243"/>
    </row>
    <row r="16" spans="1:15" ht="37.15" customHeight="1" thickTop="1" thickBot="1" x14ac:dyDescent="0.3">
      <c r="A16" s="242"/>
      <c r="B16" s="318" t="s">
        <v>186</v>
      </c>
      <c r="C16" s="319"/>
      <c r="D16" s="319"/>
      <c r="E16" s="319"/>
      <c r="F16" s="319"/>
      <c r="G16" s="319"/>
      <c r="H16" s="319"/>
      <c r="I16" s="320"/>
      <c r="J16" s="402">
        <v>43782</v>
      </c>
      <c r="K16" s="199"/>
      <c r="L16" s="199">
        <v>2021</v>
      </c>
      <c r="M16" s="199"/>
      <c r="N16" s="199"/>
      <c r="O16" s="243"/>
    </row>
    <row r="17" spans="1:15" ht="19.5" thickTop="1" thickBot="1" x14ac:dyDescent="0.3">
      <c r="A17" s="242"/>
      <c r="B17" s="40"/>
      <c r="C17" s="40"/>
      <c r="D17" s="40"/>
      <c r="E17" s="40"/>
      <c r="F17" s="40"/>
      <c r="G17" s="40"/>
      <c r="H17" s="40"/>
      <c r="I17" s="40"/>
      <c r="J17" s="40"/>
      <c r="K17" s="40"/>
      <c r="L17" s="40"/>
      <c r="M17" s="40"/>
      <c r="N17" s="40"/>
      <c r="O17" s="243"/>
    </row>
    <row r="18" spans="1:15" ht="22.9" customHeight="1" thickTop="1" thickBot="1" x14ac:dyDescent="0.3">
      <c r="A18" s="241">
        <v>4</v>
      </c>
      <c r="B18" s="324" t="s">
        <v>104</v>
      </c>
      <c r="C18" s="325"/>
      <c r="D18" s="325"/>
      <c r="E18" s="325"/>
      <c r="F18" s="325"/>
      <c r="G18" s="326"/>
      <c r="H18" s="340" t="s">
        <v>9</v>
      </c>
      <c r="I18" s="341"/>
      <c r="J18" s="39">
        <v>0</v>
      </c>
      <c r="K18" s="40"/>
      <c r="L18" s="40"/>
      <c r="M18" s="40"/>
      <c r="N18" s="40"/>
      <c r="O18" s="243"/>
    </row>
    <row r="19" spans="1:15" ht="22.9" customHeight="1" thickTop="1" thickBot="1" x14ac:dyDescent="0.3">
      <c r="A19" s="242"/>
      <c r="B19" s="327"/>
      <c r="C19" s="328"/>
      <c r="D19" s="328"/>
      <c r="E19" s="328"/>
      <c r="F19" s="328"/>
      <c r="G19" s="329"/>
      <c r="H19" s="342" t="s">
        <v>10</v>
      </c>
      <c r="I19" s="343"/>
      <c r="J19" s="39">
        <v>0</v>
      </c>
      <c r="K19" s="40"/>
      <c r="L19" s="40"/>
      <c r="M19" s="40"/>
      <c r="N19" s="40"/>
      <c r="O19" s="243"/>
    </row>
    <row r="20" spans="1:15" ht="22.9" customHeight="1" thickTop="1" thickBot="1" x14ac:dyDescent="0.3">
      <c r="A20" s="245"/>
      <c r="B20" s="40"/>
      <c r="C20" s="40"/>
      <c r="D20" s="40"/>
      <c r="E20" s="40"/>
      <c r="F20" s="40"/>
      <c r="G20" s="40"/>
      <c r="H20" s="342" t="s">
        <v>30</v>
      </c>
      <c r="I20" s="343"/>
      <c r="J20" s="39">
        <v>0</v>
      </c>
      <c r="K20" s="40"/>
      <c r="L20" s="40"/>
      <c r="M20" s="40"/>
      <c r="N20" s="40"/>
      <c r="O20" s="243"/>
    </row>
    <row r="21" spans="1:15" ht="22.9" customHeight="1" thickTop="1" x14ac:dyDescent="0.25">
      <c r="A21" s="245"/>
      <c r="B21" s="40"/>
      <c r="C21" s="40"/>
      <c r="D21" s="40"/>
      <c r="E21" s="40"/>
      <c r="F21" s="40"/>
      <c r="G21" s="40"/>
      <c r="H21" s="342" t="s">
        <v>31</v>
      </c>
      <c r="I21" s="343"/>
      <c r="J21" s="39">
        <v>0</v>
      </c>
      <c r="K21" s="40"/>
      <c r="L21" s="40"/>
      <c r="M21" s="40"/>
      <c r="N21" s="40"/>
      <c r="O21" s="243"/>
    </row>
    <row r="22" spans="1:15" ht="18.75" thickBot="1" x14ac:dyDescent="0.3">
      <c r="A22" s="237"/>
      <c r="B22" s="200"/>
      <c r="C22" s="200"/>
      <c r="D22" s="200"/>
      <c r="E22" s="200"/>
      <c r="F22" s="200"/>
      <c r="G22" s="200"/>
      <c r="H22" s="200"/>
      <c r="I22" s="200"/>
      <c r="J22" s="200"/>
      <c r="K22" s="200"/>
      <c r="L22" s="200"/>
      <c r="M22" s="200"/>
      <c r="N22" s="200"/>
      <c r="O22" s="207"/>
    </row>
    <row r="23" spans="1:15" ht="25.9" customHeight="1" thickTop="1" thickBot="1" x14ac:dyDescent="0.35">
      <c r="A23" s="246"/>
      <c r="B23" s="247"/>
      <c r="C23" s="247"/>
      <c r="D23" s="344" t="s">
        <v>167</v>
      </c>
      <c r="E23" s="344"/>
      <c r="F23" s="344"/>
      <c r="G23" s="344"/>
      <c r="H23" s="344"/>
      <c r="I23" s="344"/>
      <c r="J23" s="255" t="str">
        <f>IFERROR(IF(C55&lt;B54,SUM(P100,P101),SUM(B100,B101)),"")</f>
        <v/>
      </c>
      <c r="K23" s="201"/>
      <c r="L23" s="201"/>
      <c r="M23" s="201"/>
      <c r="N23" s="201"/>
      <c r="O23" s="248"/>
    </row>
    <row r="24" spans="1:15" ht="25.9" customHeight="1" thickTop="1" thickBot="1" x14ac:dyDescent="0.4">
      <c r="A24" s="249"/>
      <c r="B24" s="205"/>
      <c r="C24" s="205"/>
      <c r="D24" s="205"/>
      <c r="E24" s="205"/>
      <c r="F24" s="205"/>
      <c r="G24" s="205"/>
      <c r="H24" s="205"/>
      <c r="I24" s="205"/>
      <c r="J24" s="1"/>
      <c r="K24" s="206"/>
      <c r="L24" s="206"/>
      <c r="M24" s="206"/>
      <c r="N24" s="206"/>
      <c r="O24" s="207"/>
    </row>
    <row r="25" spans="1:15" ht="25.9" customHeight="1" thickTop="1" x14ac:dyDescent="0.4">
      <c r="A25" s="246"/>
      <c r="B25" s="345" t="s">
        <v>135</v>
      </c>
      <c r="C25" s="345"/>
      <c r="D25" s="345"/>
      <c r="E25" s="345"/>
      <c r="F25" s="345"/>
      <c r="G25" s="345"/>
      <c r="H25" s="345"/>
      <c r="I25" s="345"/>
      <c r="J25" s="345"/>
      <c r="K25" s="345"/>
      <c r="L25" s="345"/>
      <c r="M25" s="345"/>
      <c r="N25" s="345"/>
      <c r="O25" s="208"/>
    </row>
    <row r="26" spans="1:15" ht="25.9" customHeight="1" x14ac:dyDescent="0.4">
      <c r="A26" s="246"/>
      <c r="B26" s="209"/>
      <c r="C26" s="209"/>
      <c r="D26" s="209"/>
      <c r="E26" s="209"/>
      <c r="F26" s="209"/>
      <c r="G26" s="209"/>
      <c r="H26" s="209"/>
      <c r="I26" s="209"/>
      <c r="J26" s="209"/>
      <c r="K26" s="209"/>
      <c r="L26" s="209"/>
      <c r="M26" s="209"/>
      <c r="N26" s="209"/>
      <c r="O26" s="210"/>
    </row>
    <row r="27" spans="1:15" ht="35.450000000000003" customHeight="1" x14ac:dyDescent="0.35">
      <c r="A27" s="42"/>
      <c r="B27" s="347">
        <v>43230</v>
      </c>
      <c r="C27" s="347"/>
      <c r="D27" s="356" t="s">
        <v>120</v>
      </c>
      <c r="E27" s="357"/>
      <c r="F27" s="357"/>
      <c r="G27" s="357"/>
      <c r="H27" s="358" t="e">
        <f>IF($C$55&lt;$B$54,V54,H54)</f>
        <v>#VALUE!</v>
      </c>
      <c r="I27" s="358"/>
      <c r="J27" s="355"/>
      <c r="K27" s="355"/>
      <c r="L27" s="355"/>
      <c r="M27" s="355"/>
      <c r="N27" s="211"/>
      <c r="O27" s="4"/>
    </row>
    <row r="28" spans="1:15" ht="30.6" customHeight="1" x14ac:dyDescent="0.25">
      <c r="A28" s="43"/>
      <c r="B28" s="348" t="str">
        <f>IF($C$55&lt;$B$54,O55,A55)</f>
        <v>Anniversary date</v>
      </c>
      <c r="C28" s="348"/>
      <c r="D28" s="46">
        <f t="shared" ref="D28" si="1">IF($C$55&lt;$B$54,Q55,C55)</f>
        <v>43230</v>
      </c>
      <c r="E28" s="349" t="e">
        <f>IF($C$55&lt;$B$54,S55,F55)</f>
        <v>#VALUE!</v>
      </c>
      <c r="F28" s="349"/>
      <c r="G28" s="349"/>
      <c r="H28" s="359" t="e">
        <f>IF($C$55&lt;$B$54,V55,H55)</f>
        <v>#VALUE!</v>
      </c>
      <c r="I28" s="359"/>
      <c r="J28" s="5"/>
      <c r="K28" s="5"/>
      <c r="L28" s="6"/>
      <c r="M28" s="5"/>
      <c r="N28" s="212"/>
      <c r="O28" s="7"/>
    </row>
    <row r="29" spans="1:15" ht="15" customHeight="1" x14ac:dyDescent="0.25">
      <c r="A29" s="43"/>
      <c r="B29" s="49"/>
      <c r="C29" s="49"/>
      <c r="D29" s="47"/>
      <c r="E29" s="51"/>
      <c r="F29" s="51"/>
      <c r="G29" s="51"/>
      <c r="H29" s="56"/>
      <c r="I29" s="56"/>
      <c r="J29" s="5"/>
      <c r="K29" s="5"/>
      <c r="L29" s="6"/>
      <c r="M29" s="5"/>
      <c r="N29" s="212"/>
      <c r="O29" s="7"/>
    </row>
    <row r="30" spans="1:15" ht="30.6" customHeight="1" x14ac:dyDescent="0.25">
      <c r="A30" s="43"/>
      <c r="B30" s="348" t="str">
        <f>IF($C$55&lt;$B$54,O56,A56)</f>
        <v>Semi-annual performance</v>
      </c>
      <c r="C30" s="348"/>
      <c r="D30" s="46">
        <f t="shared" ref="D30" si="2">IF($C$55&lt;$B$54,Q56,C56)</f>
        <v>43414</v>
      </c>
      <c r="E30" s="349" t="e">
        <f>IF($C$55&lt;$B$54,S56,E56)</f>
        <v>#VALUE!</v>
      </c>
      <c r="F30" s="349"/>
      <c r="G30" s="349"/>
      <c r="H30" s="359" t="e">
        <f>IF($C$55&lt;$B$54,V56,H56)</f>
        <v>#VALUE!</v>
      </c>
      <c r="I30" s="359"/>
      <c r="J30" s="5"/>
      <c r="K30" s="5"/>
      <c r="L30" s="6"/>
      <c r="M30" s="5"/>
      <c r="N30" s="212"/>
      <c r="O30" s="7"/>
    </row>
    <row r="31" spans="1:15" ht="28.9" customHeight="1" x14ac:dyDescent="0.35">
      <c r="A31" s="42"/>
      <c r="B31" s="362"/>
      <c r="C31" s="362"/>
      <c r="D31" s="47"/>
      <c r="E31" s="373"/>
      <c r="F31" s="373"/>
      <c r="G31" s="373"/>
      <c r="H31" s="48" t="e">
        <f>IF($C$55&lt;$B$54,V57,H57)</f>
        <v>#VALUE!</v>
      </c>
      <c r="I31" s="346" t="e">
        <f>IF($C$55&lt;$B$54,W57,I57)</f>
        <v>#VALUE!</v>
      </c>
      <c r="J31" s="346"/>
      <c r="K31" s="213"/>
      <c r="L31" s="11"/>
      <c r="M31" s="11"/>
      <c r="N31" s="211"/>
      <c r="O31" s="4"/>
    </row>
    <row r="32" spans="1:15" ht="35.450000000000003" customHeight="1" x14ac:dyDescent="0.35">
      <c r="A32" s="42"/>
      <c r="B32" s="347">
        <v>43595</v>
      </c>
      <c r="C32" s="347"/>
      <c r="D32" s="356" t="s">
        <v>121</v>
      </c>
      <c r="E32" s="357"/>
      <c r="F32" s="357"/>
      <c r="G32" s="357"/>
      <c r="H32" s="358" t="e">
        <f>IF($C$55&lt;$B$54,V58,H58)</f>
        <v>#VALUE!</v>
      </c>
      <c r="I32" s="358"/>
      <c r="J32" s="5"/>
      <c r="K32" s="5"/>
      <c r="L32" s="5"/>
      <c r="M32" s="5"/>
      <c r="N32" s="211"/>
      <c r="O32" s="4"/>
    </row>
    <row r="33" spans="1:15" ht="30.6" customHeight="1" x14ac:dyDescent="0.35">
      <c r="A33" s="246"/>
      <c r="B33" s="348" t="str">
        <f>IF($C$55&lt;$B$54,O59,A59)</f>
        <v>Anniversary date</v>
      </c>
      <c r="C33" s="348"/>
      <c r="D33" s="46">
        <f t="shared" ref="D33" si="3">IF($C$55&lt;$B$54,Q59,C59)</f>
        <v>43595</v>
      </c>
      <c r="E33" s="349" t="e">
        <f>IF($C$55&lt;$B$54,S59,E59)</f>
        <v>#VALUE!</v>
      </c>
      <c r="F33" s="349"/>
      <c r="G33" s="349"/>
      <c r="H33" s="359" t="e">
        <f>IF($C$55&lt;$B$54,V59,H59)</f>
        <v>#VALUE!</v>
      </c>
      <c r="I33" s="359"/>
      <c r="J33" s="5"/>
      <c r="K33" s="5"/>
      <c r="L33" s="5"/>
      <c r="M33" s="5"/>
      <c r="N33" s="211"/>
      <c r="O33" s="4"/>
    </row>
    <row r="34" spans="1:15" ht="15" customHeight="1" x14ac:dyDescent="0.35">
      <c r="A34" s="246"/>
      <c r="B34" s="49"/>
      <c r="C34" s="49"/>
      <c r="D34" s="47"/>
      <c r="E34" s="51"/>
      <c r="F34" s="51"/>
      <c r="G34" s="51"/>
      <c r="H34" s="56"/>
      <c r="I34" s="56"/>
      <c r="J34" s="5"/>
      <c r="K34" s="5"/>
      <c r="L34" s="5"/>
      <c r="M34" s="5"/>
      <c r="N34" s="211"/>
      <c r="O34" s="4"/>
    </row>
    <row r="35" spans="1:15" ht="30.6" customHeight="1" x14ac:dyDescent="0.35">
      <c r="A35" s="246"/>
      <c r="B35" s="348" t="str">
        <f>IF($C$55&lt;$B$54,O60,A60)</f>
        <v>Semi-annual performance</v>
      </c>
      <c r="C35" s="348"/>
      <c r="D35" s="46">
        <f t="shared" ref="D35" si="4">IF($C$55&lt;$B$54,Q60,C60)</f>
        <v>43779</v>
      </c>
      <c r="E35" s="349" t="e">
        <f>IF($C$55&lt;$B$54,S60,E60)</f>
        <v>#VALUE!</v>
      </c>
      <c r="F35" s="349"/>
      <c r="G35" s="349"/>
      <c r="H35" s="359" t="e">
        <f>IF($C$55&lt;$B$54,V60,H60)</f>
        <v>#VALUE!</v>
      </c>
      <c r="I35" s="359"/>
      <c r="J35" s="5"/>
      <c r="K35" s="5"/>
      <c r="L35" s="5"/>
      <c r="M35" s="5"/>
      <c r="N35" s="211"/>
      <c r="O35" s="4"/>
    </row>
    <row r="36" spans="1:15" ht="28.9" customHeight="1" x14ac:dyDescent="0.35">
      <c r="A36" s="42"/>
      <c r="B36" s="16"/>
      <c r="C36" s="16"/>
      <c r="D36" s="17"/>
      <c r="E36" s="17"/>
      <c r="F36" s="17"/>
      <c r="G36" s="17"/>
      <c r="H36" s="48" t="e">
        <f>IF($C$55&lt;$B$54,V61,H61)</f>
        <v>#VALUE!</v>
      </c>
      <c r="I36" s="346" t="e">
        <f>IF($C$55&lt;$B$54,W61,I61)</f>
        <v>#VALUE!</v>
      </c>
      <c r="J36" s="346"/>
      <c r="K36" s="17"/>
      <c r="L36" s="53"/>
      <c r="M36" s="53"/>
      <c r="N36" s="211"/>
      <c r="O36" s="4"/>
    </row>
    <row r="37" spans="1:15" ht="29.45" customHeight="1" x14ac:dyDescent="0.35">
      <c r="A37" s="42"/>
      <c r="B37" s="347">
        <v>43961</v>
      </c>
      <c r="C37" s="347"/>
      <c r="D37" s="357" t="s">
        <v>2</v>
      </c>
      <c r="E37" s="357"/>
      <c r="F37" s="357"/>
      <c r="G37" s="357"/>
      <c r="H37" s="358" t="e">
        <f>IF($C$55&lt;$B$54,V62,H62)</f>
        <v>#VALUE!</v>
      </c>
      <c r="I37" s="358"/>
      <c r="J37" s="5"/>
      <c r="K37" s="5"/>
      <c r="L37" s="5"/>
      <c r="M37" s="5"/>
      <c r="N37" s="211"/>
      <c r="O37" s="4"/>
    </row>
    <row r="38" spans="1:15" ht="30.6" customHeight="1" x14ac:dyDescent="0.25">
      <c r="A38" s="246"/>
      <c r="B38" s="348" t="str">
        <f>IF($C$55&lt;$B$54,O63,A63)</f>
        <v>Anniversary date</v>
      </c>
      <c r="C38" s="348"/>
      <c r="D38" s="46">
        <f>IF($C$55&lt;$B$54,Q63,C63)</f>
        <v>43961</v>
      </c>
      <c r="E38" s="349" t="e">
        <f>IF($C$55&lt;$B$54,S63,E63)</f>
        <v>#VALUE!</v>
      </c>
      <c r="F38" s="349"/>
      <c r="G38" s="349"/>
      <c r="H38" s="359" t="e">
        <f>IF($C$55&lt;$B$54,V63,H63)</f>
        <v>#VALUE!</v>
      </c>
      <c r="I38" s="359"/>
      <c r="J38" s="355"/>
      <c r="K38" s="355"/>
      <c r="L38" s="355"/>
      <c r="M38" s="355"/>
      <c r="N38" s="211"/>
      <c r="O38" s="7"/>
    </row>
    <row r="39" spans="1:15" ht="15" customHeight="1" x14ac:dyDescent="0.25">
      <c r="A39" s="246"/>
      <c r="B39" s="49"/>
      <c r="C39" s="49"/>
      <c r="D39" s="47"/>
      <c r="E39" s="51"/>
      <c r="F39" s="51"/>
      <c r="G39" s="51"/>
      <c r="H39" s="56"/>
      <c r="I39" s="56"/>
      <c r="J39" s="52"/>
      <c r="K39" s="52"/>
      <c r="L39" s="52"/>
      <c r="M39" s="52"/>
      <c r="N39" s="211"/>
      <c r="O39" s="7"/>
    </row>
    <row r="40" spans="1:15" ht="38.450000000000003" customHeight="1" x14ac:dyDescent="0.25">
      <c r="A40" s="246"/>
      <c r="B40" s="348" t="str">
        <f>IF($C$55&lt;$B$54,O64,A64)</f>
        <v>Semi-annual performance</v>
      </c>
      <c r="C40" s="348"/>
      <c r="D40" s="46">
        <f>IF($C$55&lt;$B$54,Q64,C64)</f>
        <v>44145</v>
      </c>
      <c r="E40" s="349" t="e">
        <f>IF($C$55&lt;$B$54,S64,E64)</f>
        <v>#VALUE!</v>
      </c>
      <c r="F40" s="349"/>
      <c r="G40" s="349"/>
      <c r="H40" s="359" t="e">
        <f>IF($C$55&lt;$B$54,V64,H64)</f>
        <v>#VALUE!</v>
      </c>
      <c r="I40" s="359"/>
      <c r="J40" s="52"/>
      <c r="K40" s="52"/>
      <c r="L40" s="52"/>
      <c r="M40" s="52"/>
      <c r="N40" s="211"/>
      <c r="O40" s="7"/>
    </row>
    <row r="41" spans="1:15" ht="28.9" customHeight="1" x14ac:dyDescent="0.35">
      <c r="A41" s="42"/>
      <c r="B41" s="5"/>
      <c r="C41" s="10"/>
      <c r="D41" s="17"/>
      <c r="E41" s="17"/>
      <c r="F41" s="17"/>
      <c r="G41" s="17"/>
      <c r="H41" s="48" t="e">
        <f>IF($C$55&lt;$B$54,V65,H65)</f>
        <v>#VALUE!</v>
      </c>
      <c r="I41" s="346" t="e">
        <f>IF($C$55&lt;$B$54,W65,I65)</f>
        <v>#VALUE!</v>
      </c>
      <c r="J41" s="346"/>
      <c r="K41" s="17"/>
      <c r="L41" s="20"/>
      <c r="M41" s="20"/>
      <c r="N41" s="211"/>
      <c r="O41" s="4"/>
    </row>
    <row r="42" spans="1:15" ht="25.9" customHeight="1" x14ac:dyDescent="0.35">
      <c r="A42" s="42"/>
      <c r="B42" s="347">
        <v>44326</v>
      </c>
      <c r="C42" s="347"/>
      <c r="D42" s="357" t="s">
        <v>2</v>
      </c>
      <c r="E42" s="357"/>
      <c r="F42" s="357"/>
      <c r="G42" s="357"/>
      <c r="H42" s="358" t="e">
        <f>IF($C$55&lt;$B$54,V66,H66)</f>
        <v>#VALUE!</v>
      </c>
      <c r="I42" s="358"/>
      <c r="J42" s="5"/>
      <c r="K42" s="5"/>
      <c r="L42" s="5"/>
      <c r="M42" s="5"/>
      <c r="N42" s="211"/>
      <c r="O42" s="4"/>
    </row>
    <row r="43" spans="1:15" ht="25.9" customHeight="1" x14ac:dyDescent="0.25">
      <c r="A43" s="246"/>
      <c r="B43" s="348" t="str">
        <f>IF($C$55&lt;$B$54,O67,A67)</f>
        <v>Anniversary date</v>
      </c>
      <c r="C43" s="348"/>
      <c r="D43" s="46">
        <f>IF($C$55&lt;$B$54,Q67,C67)</f>
        <v>44326</v>
      </c>
      <c r="E43" s="349" t="e">
        <f>IF($C$55&lt;$B$54,S67,E67)</f>
        <v>#VALUE!</v>
      </c>
      <c r="F43" s="349"/>
      <c r="G43" s="349"/>
      <c r="H43" s="359" t="e">
        <f>IF($C$55&lt;$B$54,V67,H67)</f>
        <v>#VALUE!</v>
      </c>
      <c r="I43" s="359"/>
      <c r="J43" s="5"/>
      <c r="K43" s="5"/>
      <c r="L43" s="5"/>
      <c r="M43" s="5"/>
      <c r="N43" s="211"/>
      <c r="O43" s="7"/>
    </row>
    <row r="44" spans="1:15" ht="15" customHeight="1" x14ac:dyDescent="0.25">
      <c r="A44" s="246"/>
      <c r="B44" s="49"/>
      <c r="C44" s="49"/>
      <c r="D44" s="47"/>
      <c r="E44" s="51"/>
      <c r="F44" s="51"/>
      <c r="G44" s="51"/>
      <c r="H44" s="56"/>
      <c r="I44" s="56"/>
      <c r="J44" s="5"/>
      <c r="K44" s="5"/>
      <c r="L44" s="5"/>
      <c r="M44" s="5"/>
      <c r="N44" s="211"/>
      <c r="O44" s="7"/>
    </row>
    <row r="45" spans="1:15" ht="32.450000000000003" customHeight="1" x14ac:dyDescent="0.25">
      <c r="A45" s="246"/>
      <c r="B45" s="348" t="str">
        <f>IF($C$55&lt;$B$54,O68,A68)</f>
        <v>Semi-annual performance</v>
      </c>
      <c r="C45" s="348"/>
      <c r="D45" s="46">
        <f>IF($C$55&lt;$B$54,Q68,C68)</f>
        <v>44510</v>
      </c>
      <c r="E45" s="349" t="e">
        <f>IF($C$55&lt;$B$54,S68,E68)</f>
        <v>#VALUE!</v>
      </c>
      <c r="F45" s="349"/>
      <c r="G45" s="349"/>
      <c r="H45" s="359" t="e">
        <f>IF($C$55&lt;$B$54,V68,H68)</f>
        <v>#VALUE!</v>
      </c>
      <c r="I45" s="359"/>
      <c r="J45" s="5"/>
      <c r="K45" s="5"/>
      <c r="L45" s="5"/>
      <c r="M45" s="5"/>
      <c r="N45" s="211"/>
      <c r="O45" s="7"/>
    </row>
    <row r="46" spans="1:15" ht="28.9" customHeight="1" x14ac:dyDescent="0.25">
      <c r="A46" s="44"/>
      <c r="B46" s="5"/>
      <c r="C46" s="10"/>
      <c r="D46" s="17"/>
      <c r="E46" s="17"/>
      <c r="F46" s="17"/>
      <c r="G46" s="17"/>
      <c r="H46" s="48" t="e">
        <f>IF($C$55&lt;$B$54,V69,H69)</f>
        <v>#VALUE!</v>
      </c>
      <c r="I46" s="346" t="e">
        <f>IF($C$55&lt;$B$54,W69,I69)</f>
        <v>#VALUE!</v>
      </c>
      <c r="J46" s="346"/>
      <c r="K46" s="17"/>
      <c r="L46" s="24"/>
      <c r="M46" s="24"/>
      <c r="N46" s="211"/>
      <c r="O46" s="25"/>
    </row>
    <row r="47" spans="1:15" ht="25.9" customHeight="1" x14ac:dyDescent="0.25">
      <c r="A47" s="44"/>
      <c r="B47" s="347">
        <v>44690</v>
      </c>
      <c r="C47" s="347"/>
      <c r="D47" s="372" t="s">
        <v>18</v>
      </c>
      <c r="E47" s="372"/>
      <c r="F47" s="372"/>
      <c r="G47" s="372"/>
      <c r="H47" s="372"/>
      <c r="I47" s="372"/>
      <c r="J47" s="53"/>
      <c r="K47" s="24"/>
      <c r="L47" s="24"/>
      <c r="M47" s="24"/>
      <c r="N47" s="211"/>
      <c r="O47" s="25"/>
    </row>
    <row r="48" spans="1:15" ht="16.149999999999999" customHeight="1" x14ac:dyDescent="0.25">
      <c r="A48" s="44"/>
      <c r="B48" s="30"/>
      <c r="C48" s="30"/>
      <c r="D48" s="31"/>
      <c r="E48" s="31"/>
      <c r="F48" s="31"/>
      <c r="G48" s="31"/>
      <c r="H48" s="53"/>
      <c r="I48" s="53"/>
      <c r="J48" s="53"/>
      <c r="K48" s="24"/>
      <c r="L48" s="24"/>
      <c r="M48" s="24"/>
      <c r="N48" s="211"/>
      <c r="O48" s="25"/>
    </row>
    <row r="49" spans="1:32" s="250" customFormat="1" ht="14.45" customHeight="1" thickBot="1" x14ac:dyDescent="0.25">
      <c r="A49" s="45"/>
      <c r="B49" s="32"/>
      <c r="C49" s="32"/>
      <c r="D49" s="32"/>
      <c r="E49" s="32"/>
      <c r="F49" s="32"/>
      <c r="G49" s="32"/>
      <c r="H49" s="32"/>
      <c r="I49" s="32"/>
      <c r="J49" s="32"/>
      <c r="K49" s="32"/>
      <c r="L49" s="32"/>
      <c r="M49" s="32"/>
      <c r="N49" s="32"/>
      <c r="O49" s="33"/>
      <c r="P49" s="55"/>
      <c r="Q49" s="55"/>
      <c r="R49" s="29"/>
      <c r="S49" s="29"/>
      <c r="T49" s="27"/>
      <c r="U49" s="12"/>
      <c r="V49" s="54"/>
      <c r="W49" s="54"/>
      <c r="X49" s="54"/>
      <c r="Y49" s="28"/>
      <c r="Z49" s="28"/>
      <c r="AA49" s="28"/>
    </row>
    <row r="50" spans="1:32" s="250" customFormat="1" ht="96" customHeight="1" thickBot="1" x14ac:dyDescent="0.3">
      <c r="A50" s="246"/>
      <c r="B50" s="338" t="s">
        <v>78</v>
      </c>
      <c r="C50" s="339"/>
      <c r="D50" s="339"/>
      <c r="E50" s="339"/>
      <c r="F50" s="339"/>
      <c r="G50" s="339"/>
      <c r="H50" s="339"/>
      <c r="I50" s="339"/>
      <c r="J50" s="339"/>
      <c r="K50" s="339"/>
      <c r="L50" s="339"/>
      <c r="M50" s="339"/>
      <c r="N50" s="339"/>
      <c r="O50" s="214"/>
      <c r="P50" s="34"/>
      <c r="Q50" s="8"/>
      <c r="R50" s="251"/>
      <c r="S50" s="8"/>
      <c r="T50" s="8"/>
      <c r="U50" s="8"/>
      <c r="V50" s="8"/>
      <c r="W50" s="8"/>
      <c r="X50" s="8"/>
      <c r="Y50" s="8"/>
      <c r="Z50" s="8"/>
      <c r="AA50" s="8"/>
    </row>
    <row r="51" spans="1:32" s="252" customFormat="1" x14ac:dyDescent="0.25">
      <c r="A51" s="215"/>
      <c r="B51" s="215"/>
      <c r="C51" s="215"/>
      <c r="D51" s="215"/>
      <c r="E51" s="215"/>
      <c r="F51" s="215"/>
      <c r="G51" s="215"/>
      <c r="H51" s="215"/>
      <c r="I51" s="215"/>
      <c r="J51" s="215"/>
      <c r="K51" s="215"/>
      <c r="L51" s="215"/>
      <c r="M51" s="215"/>
      <c r="N51" s="215"/>
      <c r="O51" s="215"/>
      <c r="P51" s="116"/>
      <c r="Q51" s="116"/>
      <c r="R51" s="116"/>
      <c r="S51" s="116"/>
      <c r="T51" s="116"/>
      <c r="U51" s="116"/>
      <c r="V51" s="116"/>
      <c r="W51" s="116"/>
      <c r="X51" s="116"/>
      <c r="Y51" s="116"/>
      <c r="Z51" s="116"/>
      <c r="AA51" s="116"/>
      <c r="AB51" s="305"/>
      <c r="AC51" s="305"/>
      <c r="AD51" s="305"/>
      <c r="AE51" s="305"/>
      <c r="AF51" s="305"/>
    </row>
    <row r="52" spans="1:32" ht="26.25" x14ac:dyDescent="0.4">
      <c r="A52" s="59" t="s">
        <v>83</v>
      </c>
      <c r="B52" s="59"/>
      <c r="C52" s="60"/>
      <c r="D52" s="61"/>
      <c r="E52" s="61"/>
      <c r="F52" s="61"/>
      <c r="G52" s="61"/>
      <c r="H52" s="62"/>
      <c r="I52" s="59"/>
      <c r="J52" s="61"/>
      <c r="K52" s="61"/>
      <c r="L52" s="61"/>
      <c r="M52" s="61"/>
      <c r="N52" s="59"/>
      <c r="O52" s="59" t="s">
        <v>82</v>
      </c>
      <c r="P52" s="116"/>
      <c r="Q52" s="116"/>
      <c r="R52" s="116"/>
      <c r="S52" s="116"/>
      <c r="T52" s="116"/>
      <c r="U52" s="116"/>
      <c r="V52" s="116"/>
      <c r="W52" s="116"/>
      <c r="X52" s="116"/>
      <c r="Y52" s="116"/>
      <c r="Z52" s="116"/>
      <c r="AA52" s="116"/>
      <c r="AB52" s="306"/>
      <c r="AC52" s="306"/>
      <c r="AD52" s="306"/>
      <c r="AE52" s="306"/>
      <c r="AF52" s="306"/>
    </row>
    <row r="53" spans="1:32" ht="21" x14ac:dyDescent="0.35">
      <c r="A53" s="63" t="s">
        <v>76</v>
      </c>
      <c r="B53" s="64"/>
      <c r="C53" s="64"/>
      <c r="D53" s="64"/>
      <c r="E53" s="65"/>
      <c r="F53" s="65"/>
      <c r="G53" s="65"/>
      <c r="H53" s="66"/>
      <c r="I53" s="66"/>
      <c r="J53" s="66"/>
      <c r="K53" s="66"/>
      <c r="L53" s="66"/>
      <c r="M53" s="66"/>
      <c r="N53" s="116"/>
      <c r="O53" s="63" t="s">
        <v>76</v>
      </c>
      <c r="P53" s="64"/>
      <c r="Q53" s="64"/>
      <c r="R53" s="64"/>
      <c r="S53" s="65"/>
      <c r="T53" s="65"/>
      <c r="U53" s="65"/>
      <c r="V53" s="66"/>
      <c r="W53" s="66"/>
      <c r="X53" s="66"/>
      <c r="Y53" s="66"/>
      <c r="Z53" s="66"/>
      <c r="AA53" s="66"/>
      <c r="AB53" s="306"/>
      <c r="AC53" s="306"/>
      <c r="AD53" s="306"/>
      <c r="AE53" s="306"/>
      <c r="AF53" s="306"/>
    </row>
    <row r="54" spans="1:32" ht="28.5" x14ac:dyDescent="0.45">
      <c r="A54" s="67" t="s">
        <v>11</v>
      </c>
      <c r="B54" s="334">
        <v>43230</v>
      </c>
      <c r="C54" s="334"/>
      <c r="D54" s="335" t="s">
        <v>12</v>
      </c>
      <c r="E54" s="335"/>
      <c r="F54" s="335"/>
      <c r="G54" s="335"/>
      <c r="H54" s="336" t="e">
        <f>SUM(((J11*2%)+J11),((J11*2%)+J11)*0.8%)</f>
        <v>#VALUE!</v>
      </c>
      <c r="I54" s="336"/>
      <c r="J54" s="337"/>
      <c r="K54" s="337"/>
      <c r="L54" s="337"/>
      <c r="M54" s="337"/>
      <c r="N54" s="116"/>
      <c r="O54" s="67" t="s">
        <v>11</v>
      </c>
      <c r="P54" s="334">
        <v>43230</v>
      </c>
      <c r="Q54" s="334"/>
      <c r="R54" s="335" t="s">
        <v>12</v>
      </c>
      <c r="S54" s="335"/>
      <c r="T54" s="335"/>
      <c r="U54" s="335"/>
      <c r="V54" s="336" t="e">
        <f>SUM(((J11*2%)+J11),((J11*2%)+J11)*0.8%)</f>
        <v>#VALUE!</v>
      </c>
      <c r="W54" s="336"/>
      <c r="X54" s="337"/>
      <c r="Y54" s="337"/>
      <c r="Z54" s="337"/>
      <c r="AA54" s="337"/>
      <c r="AB54" s="306"/>
      <c r="AC54" s="306"/>
      <c r="AD54" s="306"/>
      <c r="AE54" s="306"/>
      <c r="AF54" s="306"/>
    </row>
    <row r="55" spans="1:32" ht="57.6" customHeight="1" x14ac:dyDescent="0.25">
      <c r="A55" s="68" t="s">
        <v>134</v>
      </c>
      <c r="B55" s="116"/>
      <c r="C55" s="69">
        <f>EDATE(C56,-6)</f>
        <v>43049</v>
      </c>
      <c r="D55" s="116"/>
      <c r="E55" s="69"/>
      <c r="F55" s="365" t="e">
        <f>IF(LARGE(LP01_A,1)=H54,"Top of pay scale reached. ","Moving up a lockstep step")</f>
        <v>#VALUE!</v>
      </c>
      <c r="G55" s="365"/>
      <c r="H55" s="336" t="e">
        <f>IF(COUNTIF(LP01_A,"&gt;"&amp;H54)&gt;=1,LARGE(LP01_A,COUNTIF(LP01_A,"&gt;"&amp;H54)),H54)</f>
        <v>#VALUE!</v>
      </c>
      <c r="I55" s="336"/>
      <c r="J55" s="116"/>
      <c r="K55" s="116"/>
      <c r="L55" s="66"/>
      <c r="M55" s="66"/>
      <c r="N55" s="116"/>
      <c r="O55" s="334" t="s">
        <v>122</v>
      </c>
      <c r="P55" s="334"/>
      <c r="Q55" s="216">
        <f>DATE(L13,K13,J14)</f>
        <v>43230</v>
      </c>
      <c r="R55" s="64"/>
      <c r="S55" s="369" t="e">
        <f>IF(LARGE(LP01_A,1)=V54,"Top of pay scale reached. ","Moving up a lockstep step")</f>
        <v>#VALUE!</v>
      </c>
      <c r="T55" s="369"/>
      <c r="U55" s="369"/>
      <c r="V55" s="336" t="e">
        <f>IF(COUNTIF(LP01_A,"&gt;"&amp;V54)&gt;=1,LARGE(LP01_A,COUNTIF(LP01_A,"&gt;"&amp;V54)),V54)</f>
        <v>#VALUE!</v>
      </c>
      <c r="W55" s="336"/>
      <c r="X55" s="70"/>
      <c r="Y55" s="66"/>
      <c r="Z55" s="66"/>
      <c r="AA55" s="66"/>
      <c r="AB55" s="306"/>
      <c r="AC55" s="306"/>
      <c r="AD55" s="306"/>
      <c r="AE55" s="306"/>
      <c r="AF55" s="306"/>
    </row>
    <row r="56" spans="1:32" ht="34.15" customHeight="1" x14ac:dyDescent="0.25">
      <c r="A56" s="334" t="s">
        <v>122</v>
      </c>
      <c r="B56" s="334"/>
      <c r="C56" s="217">
        <f>DATE(L13,K13,J14)</f>
        <v>43230</v>
      </c>
      <c r="D56" s="64"/>
      <c r="E56" s="353" t="e">
        <f>IF(LARGE(LP01_A,1)=H55,"Top of pay scale reached. ","Moving up a lockstep step")</f>
        <v>#VALUE!</v>
      </c>
      <c r="F56" s="353"/>
      <c r="G56" s="353"/>
      <c r="H56" s="336" t="e">
        <f>IF(COUNTIF(LP01_A,"&gt;"&amp;H55)&gt;=1,LARGE(LP01_A,COUNTIF(LP01_A,"&gt;"&amp;H55)),H55)</f>
        <v>#VALUE!</v>
      </c>
      <c r="I56" s="336"/>
      <c r="J56" s="71"/>
      <c r="K56" s="71"/>
      <c r="L56" s="70"/>
      <c r="M56" s="71"/>
      <c r="N56" s="218"/>
      <c r="O56" s="68" t="s">
        <v>134</v>
      </c>
      <c r="P56" s="116"/>
      <c r="Q56" s="72">
        <f>EDATE(Q55,6)</f>
        <v>43414</v>
      </c>
      <c r="R56" s="116"/>
      <c r="S56" s="296" t="e">
        <f>IF(LARGE(LP01_A,1)=V55,"Top of pay scale reached. ","Moving up a lockstep step")</f>
        <v>#VALUE!</v>
      </c>
      <c r="T56" s="296"/>
      <c r="U56" s="296"/>
      <c r="V56" s="336" t="e">
        <f>IF(COUNTIF(LP01_A,"&gt;"&amp;V55)&gt;=1,LARGE(LP01_A,COUNTIF(LP01_A,"&gt;"&amp;V55)),V55)</f>
        <v>#VALUE!</v>
      </c>
      <c r="W56" s="336"/>
      <c r="X56" s="74"/>
      <c r="Y56" s="74"/>
      <c r="Z56" s="70"/>
      <c r="AA56" s="71"/>
      <c r="AB56" s="306"/>
      <c r="AC56" s="306"/>
      <c r="AD56" s="306"/>
      <c r="AE56" s="306"/>
      <c r="AF56" s="306"/>
    </row>
    <row r="57" spans="1:32" ht="28.9" customHeight="1" x14ac:dyDescent="0.45">
      <c r="A57" s="67"/>
      <c r="B57" s="64"/>
      <c r="C57" s="64"/>
      <c r="D57" s="64"/>
      <c r="E57" s="64"/>
      <c r="F57" s="64"/>
      <c r="G57" s="64"/>
      <c r="H57" s="74" t="e">
        <f>IF(LARGE(LP01_A,1)=H55,SUM(H56*J18),"0")</f>
        <v>#VALUE!</v>
      </c>
      <c r="I57" s="354" t="e">
        <f>IF(LARGE(LP01_A,1)=H55,"Lump sum performance award","Lump sum not applicable")</f>
        <v>#VALUE!</v>
      </c>
      <c r="J57" s="354"/>
      <c r="K57" s="354"/>
      <c r="L57" s="74"/>
      <c r="M57" s="74"/>
      <c r="N57" s="116"/>
      <c r="O57" s="116"/>
      <c r="P57" s="116"/>
      <c r="Q57" s="116"/>
      <c r="R57" s="116"/>
      <c r="S57" s="116"/>
      <c r="T57" s="116"/>
      <c r="U57" s="116"/>
      <c r="V57" s="74" t="e">
        <f>IF(LARGE(LP01_A,1)=V55,SUM(V56*J18),"0")</f>
        <v>#VALUE!</v>
      </c>
      <c r="W57" s="294" t="e">
        <f>IF(LARGE(LP01_A,1)=V55,"Lump sum performance award","Lump sum not applicable")</f>
        <v>#VALUE!</v>
      </c>
      <c r="X57" s="294"/>
      <c r="Y57" s="294"/>
      <c r="Z57" s="74"/>
      <c r="AA57" s="74"/>
      <c r="AB57" s="306"/>
      <c r="AC57" s="306"/>
      <c r="AD57" s="306"/>
      <c r="AE57" s="306"/>
      <c r="AF57" s="306"/>
    </row>
    <row r="58" spans="1:32" ht="28.9" customHeight="1" x14ac:dyDescent="0.45">
      <c r="A58" s="67" t="s">
        <v>14</v>
      </c>
      <c r="B58" s="352">
        <v>43595</v>
      </c>
      <c r="C58" s="352"/>
      <c r="D58" s="335" t="s">
        <v>15</v>
      </c>
      <c r="E58" s="335"/>
      <c r="F58" s="335"/>
      <c r="G58" s="335"/>
      <c r="H58" s="336" t="e">
        <f>SUM(((H56*2%)+H56),((H56*2%)+H56)*0.2%)</f>
        <v>#VALUE!</v>
      </c>
      <c r="I58" s="336"/>
      <c r="J58" s="66"/>
      <c r="K58" s="66"/>
      <c r="L58" s="66"/>
      <c r="M58" s="66"/>
      <c r="N58" s="116"/>
      <c r="O58" s="67" t="s">
        <v>14</v>
      </c>
      <c r="P58" s="352">
        <v>43595</v>
      </c>
      <c r="Q58" s="352"/>
      <c r="R58" s="365" t="s">
        <v>15</v>
      </c>
      <c r="S58" s="365"/>
      <c r="T58" s="365"/>
      <c r="U58" s="365"/>
      <c r="V58" s="336" t="e">
        <f>SUM(((V56*2%)+V56),((V56*2%)+V56)*0.2%)</f>
        <v>#VALUE!</v>
      </c>
      <c r="W58" s="336"/>
      <c r="X58" s="66"/>
      <c r="Y58" s="66"/>
      <c r="Z58" s="66"/>
      <c r="AA58" s="66"/>
      <c r="AB58" s="306"/>
      <c r="AC58" s="306"/>
      <c r="AD58" s="306"/>
      <c r="AE58" s="306"/>
      <c r="AF58" s="306"/>
    </row>
    <row r="59" spans="1:32" ht="15.75" x14ac:dyDescent="0.25">
      <c r="A59" s="68" t="s">
        <v>134</v>
      </c>
      <c r="B59" s="116"/>
      <c r="C59" s="69">
        <f>EDATE(C60,-6)</f>
        <v>43414</v>
      </c>
      <c r="D59" s="116"/>
      <c r="E59" s="296" t="e">
        <f>IF(LARGE(LP01_B,1)=H58,"Top of pay scale reached. ","Moving up a lockstep step")</f>
        <v>#VALUE!</v>
      </c>
      <c r="F59" s="116"/>
      <c r="G59" s="296"/>
      <c r="H59" s="336" t="e">
        <f>IF(COUNTIF(LP01_B,"&gt;"&amp;H58)&gt;=1,LARGE(LP01_B,COUNTIF(LP01_B,"&gt;"&amp;H58)),H58)</f>
        <v>#VALUE!</v>
      </c>
      <c r="I59" s="336"/>
      <c r="J59" s="66"/>
      <c r="K59" s="66"/>
      <c r="L59" s="66"/>
      <c r="M59" s="66"/>
      <c r="N59" s="116"/>
      <c r="O59" s="334" t="s">
        <v>122</v>
      </c>
      <c r="P59" s="334"/>
      <c r="Q59" s="91">
        <f>DATE(L14,K13,J14)</f>
        <v>43595</v>
      </c>
      <c r="R59" s="64"/>
      <c r="S59" s="365" t="e">
        <f>IF(LARGE(LP01_B,1)=V58,"Top of pay scale reached. ","Moving up a lockstep step")</f>
        <v>#VALUE!</v>
      </c>
      <c r="T59" s="365"/>
      <c r="U59" s="365"/>
      <c r="V59" s="336" t="e">
        <f>IF(COUNTIF(LP01_B,"&gt;"&amp;V58)&gt;=1,LARGE(LP01_B,COUNTIF(LP01_B,"&gt;"&amp;V58)),V58)</f>
        <v>#VALUE!</v>
      </c>
      <c r="W59" s="336"/>
      <c r="X59" s="76"/>
      <c r="Y59" s="76"/>
      <c r="Z59" s="66"/>
      <c r="AA59" s="66"/>
      <c r="AB59" s="306"/>
      <c r="AC59" s="306"/>
      <c r="AD59" s="306"/>
      <c r="AE59" s="306"/>
      <c r="AF59" s="306"/>
    </row>
    <row r="60" spans="1:32" ht="15.75" x14ac:dyDescent="0.25">
      <c r="A60" s="334" t="s">
        <v>122</v>
      </c>
      <c r="B60" s="334"/>
      <c r="C60" s="91">
        <f>DATE(L14,K13,J14)</f>
        <v>43595</v>
      </c>
      <c r="D60" s="64"/>
      <c r="E60" s="290" t="e">
        <f>IF(LARGE(LP01_B,1)=H59,"Top of pay scale reached. ","Moving up a lockstep step")</f>
        <v>#VALUE!</v>
      </c>
      <c r="F60" s="290"/>
      <c r="G60" s="290"/>
      <c r="H60" s="336" t="e">
        <f>IF(COUNTIF(LP01_B,"&gt;"&amp;H59)&gt;=1,LARGE(LP01_B,COUNTIF(LP01_B,"&gt;"&amp;H59)),H59)</f>
        <v>#VALUE!</v>
      </c>
      <c r="I60" s="336"/>
      <c r="J60" s="76"/>
      <c r="K60" s="76"/>
      <c r="L60" s="66"/>
      <c r="M60" s="66"/>
      <c r="N60" s="116"/>
      <c r="O60" s="68" t="s">
        <v>134</v>
      </c>
      <c r="P60" s="116"/>
      <c r="Q60" s="69">
        <f>EDATE(Q59,6)</f>
        <v>43779</v>
      </c>
      <c r="R60" s="116"/>
      <c r="S60" s="365" t="e">
        <f>IF(LARGE(LP01_B,1)=V59,"Top of pay scale reached. ","Moving up a lockstep step")</f>
        <v>#VALUE!</v>
      </c>
      <c r="T60" s="365"/>
      <c r="U60" s="365"/>
      <c r="V60" s="336" t="e">
        <f>IF(COUNTIF(LP01_B,"&gt;"&amp;V59)&gt;=1,LARGE(LP01_B,COUNTIF(LP01_B,"&gt;"&amp;V59)),V59)</f>
        <v>#VALUE!</v>
      </c>
      <c r="W60" s="336"/>
      <c r="X60" s="116"/>
      <c r="Y60" s="116"/>
      <c r="Z60" s="66"/>
      <c r="AA60" s="66"/>
      <c r="AB60" s="306"/>
      <c r="AC60" s="306"/>
      <c r="AD60" s="306"/>
      <c r="AE60" s="306"/>
      <c r="AF60" s="306"/>
    </row>
    <row r="61" spans="1:32" ht="28.5" x14ac:dyDescent="0.45">
      <c r="A61" s="67"/>
      <c r="B61" s="64"/>
      <c r="C61" s="64"/>
      <c r="D61" s="64"/>
      <c r="E61" s="65"/>
      <c r="F61" s="65"/>
      <c r="G61" s="78"/>
      <c r="H61" s="295" t="e">
        <f>IF(LARGE(LP01_B,1)=H59,SUM(H60*J19),"0")</f>
        <v>#VALUE!</v>
      </c>
      <c r="I61" s="295" t="e">
        <f>IF(LARGE(LP01_B,1)=H59,"Lump sum performance award","Lump sum not applicable")</f>
        <v>#VALUE!</v>
      </c>
      <c r="J61" s="295"/>
      <c r="K61" s="295"/>
      <c r="L61" s="76"/>
      <c r="M61" s="76"/>
      <c r="N61" s="116"/>
      <c r="O61" s="67"/>
      <c r="P61" s="79"/>
      <c r="Q61" s="79"/>
      <c r="R61" s="80"/>
      <c r="S61" s="80"/>
      <c r="T61" s="80"/>
      <c r="U61" s="80"/>
      <c r="V61" s="295" t="e">
        <f>IF(LARGE(LP01_B,1)=V59,SUM(V60*J19),"0")</f>
        <v>#VALUE!</v>
      </c>
      <c r="W61" s="363" t="e">
        <f>IF(LARGE(LP01_B,1)=V59,"Lump sum performance award","Lump sum not applicable")</f>
        <v>#VALUE!</v>
      </c>
      <c r="X61" s="363"/>
      <c r="Y61" s="363"/>
      <c r="Z61" s="76"/>
      <c r="AA61" s="76"/>
      <c r="AB61" s="306"/>
      <c r="AC61" s="306"/>
      <c r="AD61" s="306"/>
      <c r="AE61" s="306"/>
      <c r="AF61" s="306"/>
    </row>
    <row r="62" spans="1:32" ht="28.9" customHeight="1" x14ac:dyDescent="0.45">
      <c r="A62" s="67" t="s">
        <v>16</v>
      </c>
      <c r="B62" s="352">
        <v>43961</v>
      </c>
      <c r="C62" s="352"/>
      <c r="D62" s="290" t="s">
        <v>2</v>
      </c>
      <c r="E62" s="290"/>
      <c r="F62" s="290"/>
      <c r="G62" s="290"/>
      <c r="H62" s="336" t="e">
        <f>(H60*1.5%)+H60</f>
        <v>#VALUE!</v>
      </c>
      <c r="I62" s="336"/>
      <c r="J62" s="66"/>
      <c r="K62" s="66"/>
      <c r="L62" s="66"/>
      <c r="M62" s="66"/>
      <c r="N62" s="116"/>
      <c r="O62" s="67" t="s">
        <v>16</v>
      </c>
      <c r="P62" s="352">
        <v>43961</v>
      </c>
      <c r="Q62" s="352"/>
      <c r="R62" s="365" t="s">
        <v>2</v>
      </c>
      <c r="S62" s="365"/>
      <c r="T62" s="365"/>
      <c r="U62" s="365"/>
      <c r="V62" s="364" t="e">
        <f>(V60*1.5%)+V60</f>
        <v>#VALUE!</v>
      </c>
      <c r="W62" s="364"/>
      <c r="X62" s="66"/>
      <c r="Y62" s="66"/>
      <c r="Z62" s="66"/>
      <c r="AA62" s="66"/>
      <c r="AB62" s="306"/>
      <c r="AC62" s="306"/>
      <c r="AD62" s="306"/>
      <c r="AE62" s="306"/>
      <c r="AF62" s="306"/>
    </row>
    <row r="63" spans="1:32" ht="28.9" customHeight="1" x14ac:dyDescent="0.25">
      <c r="A63" s="68" t="s">
        <v>134</v>
      </c>
      <c r="B63" s="116"/>
      <c r="C63" s="69">
        <f>EDATE(C64,-6)</f>
        <v>43779</v>
      </c>
      <c r="D63" s="116"/>
      <c r="E63" s="296" t="e">
        <f>IF(LARGE(LP01_C,1)=H62,"Top of pay scale reached. ","Moving up a lockstep step")</f>
        <v>#VALUE!</v>
      </c>
      <c r="F63" s="116"/>
      <c r="G63" s="296"/>
      <c r="H63" s="336" t="e">
        <f>IF(COUNTIF(LP01_C,"&gt;"&amp;H62)&gt;=1,LARGE(LP01_C,COUNTIF(LP01_C,"&gt;"&amp;H62)),H62)</f>
        <v>#VALUE!</v>
      </c>
      <c r="I63" s="336"/>
      <c r="J63" s="66"/>
      <c r="K63" s="66"/>
      <c r="L63" s="66"/>
      <c r="M63" s="295"/>
      <c r="N63" s="116"/>
      <c r="O63" s="334" t="s">
        <v>122</v>
      </c>
      <c r="P63" s="334"/>
      <c r="Q63" s="91">
        <f>DATE(L15,K13,J14)</f>
        <v>43961</v>
      </c>
      <c r="R63" s="116"/>
      <c r="S63" s="82" t="e">
        <f>IF(LARGE(LP01_C,1)=V62,"Top of pay scale reached. ","Moving up a lockstep step")</f>
        <v>#VALUE!</v>
      </c>
      <c r="T63" s="82"/>
      <c r="U63" s="82"/>
      <c r="V63" s="336" t="e">
        <f>IF(COUNTIF(LP01_C,"&gt;"&amp;V62)&gt;=1,LARGE(LP01_C,COUNTIF(LP01_C,"&gt;"&amp;V62)),V62)</f>
        <v>#VALUE!</v>
      </c>
      <c r="W63" s="336"/>
      <c r="X63" s="291"/>
      <c r="Y63" s="291"/>
      <c r="Z63" s="291"/>
      <c r="AA63" s="291"/>
      <c r="AB63" s="306"/>
      <c r="AC63" s="306"/>
      <c r="AD63" s="306"/>
      <c r="AE63" s="306"/>
      <c r="AF63" s="306"/>
    </row>
    <row r="64" spans="1:32" ht="15.75" x14ac:dyDescent="0.25">
      <c r="A64" s="334" t="s">
        <v>122</v>
      </c>
      <c r="B64" s="334"/>
      <c r="C64" s="91">
        <f>DATE(L15,K13,J14)</f>
        <v>43961</v>
      </c>
      <c r="D64" s="64"/>
      <c r="E64" s="290" t="e">
        <f>IF(LARGE(LP01_C,1)=H63,"Top of pay scale reached. ","Moving up a lockstep step")</f>
        <v>#VALUE!</v>
      </c>
      <c r="F64" s="290"/>
      <c r="G64" s="290"/>
      <c r="H64" s="336" t="e">
        <f>IF(COUNTIF(LP01_C,"&gt;"&amp;H63)&gt;=1,LARGE(LP01_C,COUNTIF(LP01_C,"&gt;"&amp;H63)),H63)</f>
        <v>#VALUE!</v>
      </c>
      <c r="I64" s="336"/>
      <c r="J64" s="291"/>
      <c r="K64" s="291"/>
      <c r="L64" s="66"/>
      <c r="M64" s="295"/>
      <c r="N64" s="116"/>
      <c r="O64" s="68" t="s">
        <v>134</v>
      </c>
      <c r="P64" s="116"/>
      <c r="Q64" s="69">
        <f>EDATE(Q63,6)</f>
        <v>44145</v>
      </c>
      <c r="R64" s="116"/>
      <c r="S64" s="365" t="e">
        <f>IF(LARGE(LP01_C,1)=V63,"Top of pay scale reached. ","Moving up a lockstep step")</f>
        <v>#VALUE!</v>
      </c>
      <c r="T64" s="365"/>
      <c r="U64" s="365"/>
      <c r="V64" s="336" t="e">
        <f>IF(COUNTIF(LP01_C,"&gt;"&amp;V63)&gt;=1,LARGE(LP01_C,COUNTIF(LP01_C,"&gt;"&amp;V63)),V63)</f>
        <v>#VALUE!</v>
      </c>
      <c r="W64" s="336"/>
      <c r="X64" s="116"/>
      <c r="Y64" s="116"/>
      <c r="Z64" s="84"/>
      <c r="AA64" s="84"/>
      <c r="AB64" s="306"/>
      <c r="AC64" s="306"/>
      <c r="AD64" s="306"/>
      <c r="AE64" s="306"/>
      <c r="AF64" s="306"/>
    </row>
    <row r="65" spans="1:32" ht="28.5" x14ac:dyDescent="0.45">
      <c r="A65" s="67"/>
      <c r="B65" s="71"/>
      <c r="C65" s="64"/>
      <c r="D65" s="80"/>
      <c r="E65" s="80"/>
      <c r="F65" s="80"/>
      <c r="G65" s="80"/>
      <c r="H65" s="295" t="e">
        <f>IF(LARGE(LP01_C,1)=H63,SUM(H64*J20),"0")</f>
        <v>#VALUE!</v>
      </c>
      <c r="I65" s="295" t="e">
        <f>IF(LARGE(LP01_C,1)=H63,"Lump sum performance award","Lump sum not applicable")</f>
        <v>#VALUE!</v>
      </c>
      <c r="J65" s="295"/>
      <c r="K65" s="295"/>
      <c r="L65" s="291"/>
      <c r="M65" s="66"/>
      <c r="N65" s="116"/>
      <c r="O65" s="116"/>
      <c r="P65" s="116"/>
      <c r="Q65" s="116"/>
      <c r="R65" s="116"/>
      <c r="S65" s="116"/>
      <c r="T65" s="116"/>
      <c r="U65" s="116"/>
      <c r="V65" s="295" t="e">
        <f>IF(LARGE(LP01_C,1)=V63,SUM(V64*J20),"0")</f>
        <v>#VALUE!</v>
      </c>
      <c r="W65" s="295" t="e">
        <f>IF(LARGE(LP01_C,1)=V63,"Lump sum performance award","Lump sum not applicable")</f>
        <v>#VALUE!</v>
      </c>
      <c r="X65" s="295"/>
      <c r="Y65" s="295"/>
      <c r="Z65" s="116"/>
      <c r="AA65" s="116"/>
      <c r="AB65" s="306"/>
      <c r="AC65" s="306"/>
      <c r="AD65" s="306"/>
      <c r="AE65" s="306"/>
      <c r="AF65" s="306"/>
    </row>
    <row r="66" spans="1:32" ht="28.9" customHeight="1" x14ac:dyDescent="0.45">
      <c r="A66" s="67" t="s">
        <v>17</v>
      </c>
      <c r="B66" s="352">
        <v>44326</v>
      </c>
      <c r="C66" s="352"/>
      <c r="D66" s="290" t="s">
        <v>2</v>
      </c>
      <c r="E66" s="290"/>
      <c r="F66" s="290"/>
      <c r="G66" s="290"/>
      <c r="H66" s="364" t="e">
        <f>(H64*1.5%)+H64</f>
        <v>#VALUE!</v>
      </c>
      <c r="I66" s="364"/>
      <c r="J66" s="66"/>
      <c r="K66" s="66"/>
      <c r="L66" s="84"/>
      <c r="M66" s="66"/>
      <c r="N66" s="116"/>
      <c r="O66" s="67" t="s">
        <v>17</v>
      </c>
      <c r="P66" s="352">
        <v>44326</v>
      </c>
      <c r="Q66" s="352"/>
      <c r="R66" s="335" t="s">
        <v>2</v>
      </c>
      <c r="S66" s="335"/>
      <c r="T66" s="335"/>
      <c r="U66" s="335"/>
      <c r="V66" s="364" t="e">
        <f>(V64*1.5%)+V64</f>
        <v>#VALUE!</v>
      </c>
      <c r="W66" s="336"/>
      <c r="X66" s="66"/>
      <c r="Y66" s="66"/>
      <c r="Z66" s="116"/>
      <c r="AA66" s="116"/>
      <c r="AB66" s="306"/>
      <c r="AC66" s="306"/>
      <c r="AD66" s="306"/>
      <c r="AE66" s="306"/>
      <c r="AF66" s="306"/>
    </row>
    <row r="67" spans="1:32" ht="15.75" x14ac:dyDescent="0.25">
      <c r="A67" s="68" t="s">
        <v>134</v>
      </c>
      <c r="B67" s="116"/>
      <c r="C67" s="69">
        <f>EDATE(C68,-6)</f>
        <v>44145</v>
      </c>
      <c r="D67" s="116"/>
      <c r="E67" s="296" t="e">
        <f>IF(LARGE(LP01_D,1)=H66,"Top of pay scale reached. ","Moving up a lockstep step")</f>
        <v>#VALUE!</v>
      </c>
      <c r="F67" s="116"/>
      <c r="G67" s="296"/>
      <c r="H67" s="336" t="e">
        <f>IF(COUNTIF(LP01_D,"&gt;"&amp;H66)&gt;=1,LARGE(LP01_D,COUNTIF(LP01_D,"&gt;"&amp;H66)),H66)</f>
        <v>#VALUE!</v>
      </c>
      <c r="I67" s="336"/>
      <c r="J67" s="66"/>
      <c r="K67" s="66"/>
      <c r="L67" s="66"/>
      <c r="M67" s="291"/>
      <c r="N67" s="116"/>
      <c r="O67" s="334" t="s">
        <v>122</v>
      </c>
      <c r="P67" s="334"/>
      <c r="Q67" s="91">
        <f>DATE(L16,K13,J14)</f>
        <v>44326</v>
      </c>
      <c r="R67" s="116"/>
      <c r="S67" s="82" t="e">
        <f>IF(LARGE(LP01_D,1)=V66,"Top of pay scale reached. ","Moving up a lockstep step")</f>
        <v>#VALUE!</v>
      </c>
      <c r="T67" s="82"/>
      <c r="U67" s="82"/>
      <c r="V67" s="336" t="e">
        <f>IF(COUNTIF(LP01_D,"&gt;"&amp;V66)&gt;=1,LARGE(LP01_D,COUNTIF(LP01_D,"&gt;"&amp;V66)),V66)</f>
        <v>#VALUE!</v>
      </c>
      <c r="W67" s="336"/>
      <c r="X67" s="66"/>
      <c r="Y67" s="66"/>
      <c r="Z67" s="66"/>
      <c r="AA67" s="66"/>
      <c r="AB67" s="306"/>
      <c r="AC67" s="306"/>
      <c r="AD67" s="306"/>
      <c r="AE67" s="306"/>
      <c r="AF67" s="306"/>
    </row>
    <row r="68" spans="1:32" ht="15.75" x14ac:dyDescent="0.25">
      <c r="A68" s="334" t="s">
        <v>122</v>
      </c>
      <c r="B68" s="334"/>
      <c r="C68" s="91">
        <f>DATE(L16,K13,J14)</f>
        <v>44326</v>
      </c>
      <c r="D68" s="64"/>
      <c r="E68" s="290" t="e">
        <f>IF(LARGE(LP01_D,1)=H67,"Top of pay scale reached. ","Moving up a lockstep step")</f>
        <v>#VALUE!</v>
      </c>
      <c r="F68" s="290"/>
      <c r="G68" s="290"/>
      <c r="H68" s="336" t="e">
        <f>IF(COUNTIF(LP01_D,"&gt;"&amp;H67)&gt;=1,LARGE(LP01_D,COUNTIF(LP01_D,"&gt;"&amp;H67)),H67)</f>
        <v>#VALUE!</v>
      </c>
      <c r="I68" s="336"/>
      <c r="J68" s="66"/>
      <c r="K68" s="66"/>
      <c r="L68" s="66"/>
      <c r="M68" s="84"/>
      <c r="N68" s="116"/>
      <c r="O68" s="68" t="s">
        <v>134</v>
      </c>
      <c r="P68" s="116"/>
      <c r="Q68" s="69">
        <f>EDATE(Q67,6)</f>
        <v>44510</v>
      </c>
      <c r="R68" s="116"/>
      <c r="S68" s="365" t="e">
        <f>IF(LARGE(LP01_D,1)=V67,"Top of pay scale reached. ","Moving up a lockstep step")</f>
        <v>#VALUE!</v>
      </c>
      <c r="T68" s="365"/>
      <c r="U68" s="365"/>
      <c r="V68" s="336" t="e">
        <f>IF(COUNTIF(LP01_D,"&gt;"&amp;V67)&gt;=1,LARGE(LP01_D,COUNTIF(LP01_D,"&gt;"&amp;V67)),V67)</f>
        <v>#VALUE!</v>
      </c>
      <c r="W68" s="336"/>
      <c r="X68" s="66"/>
      <c r="Y68" s="66"/>
      <c r="Z68" s="116"/>
      <c r="AA68" s="116"/>
      <c r="AB68" s="306"/>
      <c r="AC68" s="306"/>
      <c r="AD68" s="306"/>
      <c r="AE68" s="306"/>
      <c r="AF68" s="306"/>
    </row>
    <row r="69" spans="1:32" ht="28.9" customHeight="1" x14ac:dyDescent="0.25">
      <c r="A69" s="71"/>
      <c r="B69" s="71"/>
      <c r="C69" s="64"/>
      <c r="D69" s="80"/>
      <c r="E69" s="80"/>
      <c r="F69" s="80"/>
      <c r="G69" s="80"/>
      <c r="H69" s="295" t="e">
        <f>IF(LARGE(LP01_D,1)=H67,SUM(H68*J21),"0")</f>
        <v>#VALUE!</v>
      </c>
      <c r="I69" s="295" t="e">
        <f>IF(LARGE(LP01_D,1)=H67,"Lump sum performance award","Lump sum not applicable")</f>
        <v>#VALUE!</v>
      </c>
      <c r="J69" s="295"/>
      <c r="K69" s="295"/>
      <c r="L69" s="66"/>
      <c r="M69" s="66"/>
      <c r="N69" s="116"/>
      <c r="O69" s="116"/>
      <c r="P69" s="116"/>
      <c r="Q69" s="116"/>
      <c r="R69" s="116"/>
      <c r="S69" s="116"/>
      <c r="T69" s="116"/>
      <c r="U69" s="116"/>
      <c r="V69" s="295" t="e">
        <f>IF(LARGE(LP01_D,1)=V67,SUM(V68*J21),"0")</f>
        <v>#VALUE!</v>
      </c>
      <c r="W69" s="363" t="e">
        <f>IF(LARGE(LP01_D,1)=V67,"Lump sum performance award","Lump sum not applicable")</f>
        <v>#VALUE!</v>
      </c>
      <c r="X69" s="363"/>
      <c r="Y69" s="363"/>
      <c r="Z69" s="116"/>
      <c r="AA69" s="116"/>
      <c r="AB69" s="306"/>
      <c r="AC69" s="306"/>
      <c r="AD69" s="306"/>
      <c r="AE69" s="306"/>
      <c r="AF69" s="306"/>
    </row>
    <row r="70" spans="1:32" x14ac:dyDescent="0.25">
      <c r="A70" s="116"/>
      <c r="B70" s="116"/>
      <c r="C70" s="116"/>
      <c r="D70" s="116"/>
      <c r="E70" s="116"/>
      <c r="F70" s="116"/>
      <c r="G70" s="116"/>
      <c r="H70" s="116"/>
      <c r="I70" s="116"/>
      <c r="J70" s="116"/>
      <c r="K70" s="116"/>
      <c r="L70" s="66"/>
      <c r="M70" s="66"/>
      <c r="N70" s="116"/>
      <c r="O70" s="71"/>
      <c r="P70" s="71"/>
      <c r="Q70" s="64"/>
      <c r="R70" s="80"/>
      <c r="S70" s="80"/>
      <c r="T70" s="80"/>
      <c r="U70" s="80"/>
      <c r="V70" s="116"/>
      <c r="W70" s="116"/>
      <c r="X70" s="116"/>
      <c r="Y70" s="116"/>
      <c r="Z70" s="116"/>
      <c r="AA70" s="116"/>
      <c r="AB70" s="306"/>
      <c r="AC70" s="306"/>
      <c r="AD70" s="306"/>
      <c r="AE70" s="306"/>
      <c r="AF70" s="306"/>
    </row>
    <row r="71" spans="1:32" x14ac:dyDescent="0.25">
      <c r="A71" s="71"/>
      <c r="B71" s="352">
        <v>44690</v>
      </c>
      <c r="C71" s="352"/>
      <c r="D71" s="353" t="s">
        <v>18</v>
      </c>
      <c r="E71" s="353"/>
      <c r="F71" s="353"/>
      <c r="G71" s="353"/>
      <c r="H71" s="295"/>
      <c r="I71" s="295"/>
      <c r="J71" s="295"/>
      <c r="K71" s="76"/>
      <c r="L71" s="76"/>
      <c r="M71" s="66"/>
      <c r="N71" s="116"/>
      <c r="O71" s="71"/>
      <c r="P71" s="352">
        <v>44690</v>
      </c>
      <c r="Q71" s="352"/>
      <c r="R71" s="353" t="s">
        <v>18</v>
      </c>
      <c r="S71" s="353"/>
      <c r="T71" s="353"/>
      <c r="U71" s="353"/>
      <c r="V71" s="295"/>
      <c r="W71" s="295"/>
      <c r="X71" s="295"/>
      <c r="Y71" s="76"/>
      <c r="Z71" s="66"/>
      <c r="AA71" s="66"/>
      <c r="AB71" s="306"/>
      <c r="AC71" s="306"/>
      <c r="AD71" s="306"/>
      <c r="AE71" s="306"/>
      <c r="AF71" s="306"/>
    </row>
    <row r="72" spans="1:32" x14ac:dyDescent="0.25">
      <c r="A72" s="116"/>
      <c r="B72" s="116"/>
      <c r="C72" s="116"/>
      <c r="D72" s="116"/>
      <c r="E72" s="116"/>
      <c r="F72" s="116"/>
      <c r="G72" s="116"/>
      <c r="H72" s="116"/>
      <c r="I72" s="116"/>
      <c r="J72" s="116"/>
      <c r="K72" s="116"/>
      <c r="L72" s="76"/>
      <c r="M72" s="66"/>
      <c r="N72" s="116"/>
      <c r="O72" s="116"/>
      <c r="P72" s="116"/>
      <c r="Q72" s="116"/>
      <c r="R72" s="116"/>
      <c r="S72" s="116"/>
      <c r="T72" s="116"/>
      <c r="U72" s="116"/>
      <c r="V72" s="116"/>
      <c r="W72" s="116"/>
      <c r="X72" s="116"/>
      <c r="Y72" s="116"/>
      <c r="Z72" s="66"/>
      <c r="AA72" s="66"/>
      <c r="AB72" s="306"/>
      <c r="AC72" s="306"/>
      <c r="AD72" s="306"/>
      <c r="AE72" s="306"/>
      <c r="AF72" s="306"/>
    </row>
    <row r="73" spans="1:32" ht="14.45" customHeight="1" x14ac:dyDescent="0.25">
      <c r="A73" s="116"/>
      <c r="B73" s="116"/>
      <c r="C73" s="116"/>
      <c r="D73" s="116"/>
      <c r="E73" s="116"/>
      <c r="F73" s="116"/>
      <c r="G73" s="116"/>
      <c r="H73" s="116"/>
      <c r="I73" s="116"/>
      <c r="J73" s="116"/>
      <c r="K73" s="116"/>
      <c r="L73" s="116"/>
      <c r="M73" s="76"/>
      <c r="N73" s="116"/>
      <c r="O73" s="116"/>
      <c r="P73" s="116"/>
      <c r="Q73" s="116"/>
      <c r="R73" s="116"/>
      <c r="S73" s="116"/>
      <c r="T73" s="116"/>
      <c r="U73" s="116"/>
      <c r="V73" s="116"/>
      <c r="W73" s="116"/>
      <c r="X73" s="116"/>
      <c r="Y73" s="116"/>
      <c r="Z73" s="66"/>
      <c r="AA73" s="66"/>
      <c r="AB73" s="306"/>
      <c r="AC73" s="306"/>
      <c r="AD73" s="306"/>
      <c r="AE73" s="306"/>
      <c r="AF73" s="306"/>
    </row>
    <row r="74" spans="1:32" ht="14.45" customHeight="1" x14ac:dyDescent="0.25">
      <c r="A74" s="116"/>
      <c r="B74" s="116"/>
      <c r="C74" s="116"/>
      <c r="D74" s="116"/>
      <c r="E74" s="116"/>
      <c r="F74" s="116"/>
      <c r="G74" s="116"/>
      <c r="H74" s="116"/>
      <c r="I74" s="116"/>
      <c r="J74" s="116"/>
      <c r="K74" s="116"/>
      <c r="L74" s="116"/>
      <c r="M74" s="76"/>
      <c r="N74" s="116"/>
      <c r="O74" s="116"/>
      <c r="P74" s="116"/>
      <c r="Q74" s="116"/>
      <c r="R74" s="116"/>
      <c r="S74" s="116"/>
      <c r="T74" s="116"/>
      <c r="U74" s="116"/>
      <c r="V74" s="116"/>
      <c r="W74" s="116"/>
      <c r="X74" s="116"/>
      <c r="Y74" s="116"/>
      <c r="Z74" s="76"/>
      <c r="AA74" s="76"/>
      <c r="AB74" s="306"/>
      <c r="AC74" s="306"/>
      <c r="AD74" s="306"/>
      <c r="AE74" s="306"/>
      <c r="AF74" s="306"/>
    </row>
    <row r="75" spans="1:32" ht="14.45" customHeight="1" x14ac:dyDescent="0.25">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76"/>
      <c r="AA75" s="76"/>
      <c r="AB75" s="306"/>
      <c r="AC75" s="306"/>
      <c r="AD75" s="306"/>
      <c r="AE75" s="306"/>
      <c r="AF75" s="306"/>
    </row>
    <row r="76" spans="1:32" ht="14.45" customHeight="1" x14ac:dyDescent="0.25">
      <c r="A76" s="71"/>
      <c r="B76" s="292"/>
      <c r="C76" s="292">
        <v>44691</v>
      </c>
      <c r="D76" s="293"/>
      <c r="E76" s="293"/>
      <c r="F76" s="293"/>
      <c r="G76" s="293"/>
      <c r="H76" s="116"/>
      <c r="I76" s="116"/>
      <c r="J76" s="116"/>
      <c r="K76" s="116"/>
      <c r="L76" s="76"/>
      <c r="M76" s="76"/>
      <c r="N76" s="116"/>
      <c r="O76" s="71"/>
      <c r="P76" s="292"/>
      <c r="Q76" s="292"/>
      <c r="R76" s="293"/>
      <c r="S76" s="293"/>
      <c r="T76" s="293"/>
      <c r="U76" s="293"/>
      <c r="V76" s="295"/>
      <c r="W76" s="295"/>
      <c r="X76" s="295"/>
      <c r="Y76" s="76"/>
      <c r="Z76" s="76"/>
      <c r="AA76" s="76"/>
      <c r="AB76" s="306"/>
      <c r="AC76" s="306"/>
      <c r="AD76" s="306"/>
      <c r="AE76" s="306"/>
      <c r="AF76" s="306"/>
    </row>
    <row r="77" spans="1:32" ht="26.25" x14ac:dyDescent="0.4">
      <c r="A77" s="59" t="s">
        <v>83</v>
      </c>
      <c r="B77" s="71"/>
      <c r="C77" s="71"/>
      <c r="D77" s="71"/>
      <c r="E77" s="71"/>
      <c r="F77" s="71"/>
      <c r="G77" s="71"/>
      <c r="H77" s="71"/>
      <c r="I77" s="71"/>
      <c r="J77" s="71"/>
      <c r="K77" s="71"/>
      <c r="L77" s="87"/>
      <c r="M77" s="71"/>
      <c r="N77" s="219"/>
      <c r="O77" s="59" t="s">
        <v>82</v>
      </c>
      <c r="P77" s="116"/>
      <c r="Q77" s="116"/>
      <c r="R77" s="116"/>
      <c r="S77" s="116"/>
      <c r="T77" s="116"/>
      <c r="U77" s="116"/>
      <c r="V77" s="116"/>
      <c r="W77" s="116"/>
      <c r="X77" s="116"/>
      <c r="Y77" s="116"/>
      <c r="Z77" s="116"/>
      <c r="AA77" s="116"/>
      <c r="AB77" s="306"/>
      <c r="AC77" s="306"/>
      <c r="AD77" s="306"/>
      <c r="AE77" s="306"/>
      <c r="AF77" s="306"/>
    </row>
    <row r="78" spans="1:32" ht="21" x14ac:dyDescent="0.35">
      <c r="A78" s="63" t="s">
        <v>75</v>
      </c>
      <c r="B78" s="71"/>
      <c r="C78" s="71"/>
      <c r="D78" s="71"/>
      <c r="E78" s="71"/>
      <c r="F78" s="71"/>
      <c r="G78" s="71"/>
      <c r="H78" s="71"/>
      <c r="I78" s="71"/>
      <c r="J78" s="87"/>
      <c r="K78" s="71"/>
      <c r="L78" s="87"/>
      <c r="M78" s="116"/>
      <c r="N78" s="116"/>
      <c r="O78" s="88"/>
      <c r="P78" s="116"/>
      <c r="Q78" s="116"/>
      <c r="R78" s="116"/>
      <c r="S78" s="116"/>
      <c r="T78" s="116"/>
      <c r="U78" s="116"/>
      <c r="V78" s="116"/>
      <c r="W78" s="116"/>
      <c r="X78" s="116"/>
      <c r="Y78" s="116"/>
      <c r="Z78" s="116"/>
      <c r="AA78" s="116"/>
      <c r="AB78" s="306"/>
      <c r="AC78" s="306"/>
      <c r="AD78" s="306"/>
      <c r="AE78" s="306"/>
      <c r="AF78" s="306"/>
    </row>
    <row r="79" spans="1:32" ht="57.6" customHeight="1" x14ac:dyDescent="0.25">
      <c r="A79" s="71"/>
      <c r="B79" s="71"/>
      <c r="C79" s="71"/>
      <c r="D79" s="71" t="s">
        <v>19</v>
      </c>
      <c r="E79" s="89" t="s">
        <v>20</v>
      </c>
      <c r="F79" s="89" t="s">
        <v>21</v>
      </c>
      <c r="G79" s="71"/>
      <c r="H79" s="71"/>
      <c r="I79" s="71"/>
      <c r="J79" s="87"/>
      <c r="K79" s="71"/>
      <c r="L79" s="87"/>
      <c r="M79" s="116"/>
      <c r="N79" s="219"/>
      <c r="O79" s="116"/>
      <c r="P79" s="116"/>
      <c r="Q79" s="71" t="s">
        <v>19</v>
      </c>
      <c r="R79" s="89" t="s">
        <v>20</v>
      </c>
      <c r="S79" s="89" t="s">
        <v>21</v>
      </c>
      <c r="T79" s="116"/>
      <c r="U79" s="116"/>
      <c r="V79" s="116"/>
      <c r="W79" s="116"/>
      <c r="X79" s="116"/>
      <c r="Y79" s="116"/>
      <c r="Z79" s="116"/>
      <c r="AA79" s="116"/>
      <c r="AB79" s="306"/>
      <c r="AC79" s="306"/>
      <c r="AD79" s="306"/>
      <c r="AE79" s="306"/>
      <c r="AF79" s="306"/>
    </row>
    <row r="80" spans="1:32" ht="57.6" customHeight="1" x14ac:dyDescent="0.25">
      <c r="A80" s="71"/>
      <c r="B80" s="71"/>
      <c r="C80" s="71"/>
      <c r="D80" s="87">
        <v>43230</v>
      </c>
      <c r="E80" s="71" t="str">
        <f>IF(COUNTIF(LP01_old_rates,"&gt;"&amp;J11)&gt;=1,LARGE(LP01_old_rates,COUNTIF(LP01_old_rates,"&gt;"&amp;J11)),J11)</f>
        <v>Select</v>
      </c>
      <c r="F80" s="90" t="str">
        <f>IF(LARGE(LP01_old_rates,1)=J11,SUM(E80*J18),"0")</f>
        <v>0</v>
      </c>
      <c r="G80" s="71"/>
      <c r="H80" s="71"/>
      <c r="I80" s="71"/>
      <c r="J80" s="87"/>
      <c r="K80" s="71"/>
      <c r="L80" s="87"/>
      <c r="M80" s="116"/>
      <c r="N80" s="219"/>
      <c r="O80" s="116"/>
      <c r="P80" s="116"/>
      <c r="Q80" s="87">
        <v>43230</v>
      </c>
      <c r="R80" s="89" t="str">
        <f>IF(COUNTIF(LP01_old_rates,"&gt;"&amp;J11)&gt;=1,LARGE(LP01_old_rates,COUNTIF(LP01_old_rates,"&gt;"&amp;J11)),J11)</f>
        <v>Select</v>
      </c>
      <c r="S80" s="90" t="str">
        <f>IF(LARGE(LP01_old_rates,1)=J11,SUM(R80*J18),"0")</f>
        <v>0</v>
      </c>
      <c r="T80" s="116"/>
      <c r="U80" s="116"/>
      <c r="V80" s="116"/>
      <c r="W80" s="116"/>
      <c r="X80" s="116"/>
      <c r="Y80" s="116"/>
      <c r="Z80" s="116"/>
      <c r="AA80" s="116"/>
      <c r="AB80" s="306"/>
      <c r="AC80" s="306"/>
      <c r="AD80" s="306"/>
      <c r="AE80" s="306"/>
      <c r="AF80" s="306"/>
    </row>
    <row r="81" spans="1:32" ht="43.15" customHeight="1" x14ac:dyDescent="0.25">
      <c r="A81" s="71"/>
      <c r="B81" s="91"/>
      <c r="C81" s="91"/>
      <c r="D81" s="220" t="s">
        <v>98</v>
      </c>
      <c r="E81" s="71" t="str">
        <f>IF(COUNTIF(LP01_old_rates,"&gt;"&amp;J11)&gt;=1,LARGE(LP01_old_rates,COUNTIF(LP01_old_rates,"&gt;"&amp;J11)),J11)</f>
        <v>Select</v>
      </c>
      <c r="F81" s="116"/>
      <c r="G81" s="71"/>
      <c r="H81" s="71"/>
      <c r="I81" s="71"/>
      <c r="J81" s="87"/>
      <c r="K81" s="116"/>
      <c r="L81" s="116"/>
      <c r="M81" s="84"/>
      <c r="N81" s="116"/>
      <c r="O81" s="116"/>
      <c r="P81" s="116"/>
      <c r="Q81" s="89" t="s">
        <v>86</v>
      </c>
      <c r="R81" s="71" t="str">
        <f>IF(COUNTIF(LP01_old_rates,"&gt;"&amp;J11)&gt;=1,LARGE(LP01_old_rates,COUNTIF(LP01_old_rates,"&gt;"&amp;J11)),J11)</f>
        <v>Select</v>
      </c>
      <c r="S81" s="116"/>
      <c r="T81" s="116"/>
      <c r="U81" s="116"/>
      <c r="V81" s="116"/>
      <c r="W81" s="116"/>
      <c r="X81" s="116"/>
      <c r="Y81" s="116"/>
      <c r="Z81" s="116"/>
      <c r="AA81" s="116"/>
      <c r="AB81" s="306"/>
      <c r="AC81" s="306"/>
      <c r="AD81" s="306"/>
      <c r="AE81" s="306"/>
      <c r="AF81" s="306"/>
    </row>
    <row r="82" spans="1:32" ht="43.15" customHeight="1" x14ac:dyDescent="0.25">
      <c r="A82" s="71"/>
      <c r="B82" s="91"/>
      <c r="C82" s="91"/>
      <c r="D82" s="89" t="s">
        <v>86</v>
      </c>
      <c r="E82" s="71" t="str">
        <f>IF(COUNTIF(LP01_old_rates,"&gt;"&amp;E81)&gt;=1,LARGE(LP01_old_rates,COUNTIF(LP01_old_rates,"&gt;"&amp;E81)),E81)</f>
        <v>Select</v>
      </c>
      <c r="F82" s="116"/>
      <c r="G82" s="71"/>
      <c r="H82" s="71"/>
      <c r="I82" s="71"/>
      <c r="J82" s="87"/>
      <c r="K82" s="116"/>
      <c r="L82" s="116"/>
      <c r="M82" s="116"/>
      <c r="N82" s="116"/>
      <c r="O82" s="116"/>
      <c r="P82" s="116"/>
      <c r="Q82" s="221" t="s">
        <v>98</v>
      </c>
      <c r="R82" s="71" t="str">
        <f>IF(COUNTIF(LP01_old_rates,"&gt;"&amp;R81)&gt;=1,LARGE(LP01_old_rates,COUNTIF(LP01_old_rates,"&gt;"&amp;R81)),R81)</f>
        <v>Select</v>
      </c>
      <c r="S82" s="116"/>
      <c r="T82" s="116"/>
      <c r="U82" s="116"/>
      <c r="V82" s="116"/>
      <c r="W82" s="116"/>
      <c r="X82" s="116"/>
      <c r="Y82" s="116"/>
      <c r="Z82" s="116"/>
      <c r="AA82" s="116"/>
      <c r="AB82" s="306"/>
      <c r="AC82" s="306"/>
      <c r="AD82" s="306"/>
      <c r="AE82" s="306"/>
      <c r="AF82" s="306"/>
    </row>
    <row r="83" spans="1:32" ht="43.15" customHeight="1" x14ac:dyDescent="0.25">
      <c r="A83" s="71"/>
      <c r="B83" s="91"/>
      <c r="C83" s="91"/>
      <c r="D83" s="92">
        <v>43595</v>
      </c>
      <c r="E83" s="71"/>
      <c r="F83" s="90" t="str">
        <f>IF(AND(J16&gt;D83,LARGE(LP01_old_rates,1)=E81),SUM(E82*J19),"0")</f>
        <v>0</v>
      </c>
      <c r="G83" s="71"/>
      <c r="H83" s="71"/>
      <c r="I83" s="71"/>
      <c r="J83" s="87"/>
      <c r="K83" s="116"/>
      <c r="L83" s="116"/>
      <c r="M83" s="84"/>
      <c r="N83" s="116"/>
      <c r="O83" s="116"/>
      <c r="P83" s="116"/>
      <c r="Q83" s="92">
        <v>43595</v>
      </c>
      <c r="R83" s="71"/>
      <c r="S83" s="90" t="str">
        <f>IF(AND(J16&gt;Q83,LARGE(LP01_old_rates,1)=R81),SUM(R82*J19),"0")</f>
        <v>0</v>
      </c>
      <c r="T83" s="116"/>
      <c r="U83" s="116"/>
      <c r="V83" s="116"/>
      <c r="W83" s="116"/>
      <c r="X83" s="116"/>
      <c r="Y83" s="116"/>
      <c r="Z83" s="116"/>
      <c r="AA83" s="116"/>
      <c r="AB83" s="306"/>
      <c r="AC83" s="306"/>
      <c r="AD83" s="306"/>
      <c r="AE83" s="306"/>
      <c r="AF83" s="306"/>
    </row>
    <row r="84" spans="1:32" ht="43.15" customHeight="1" x14ac:dyDescent="0.25">
      <c r="A84" s="71"/>
      <c r="B84" s="71"/>
      <c r="C84" s="93"/>
      <c r="D84" s="220" t="s">
        <v>99</v>
      </c>
      <c r="E84" s="71" t="str">
        <f>IF(COUNTIF(LP01_old_rates,"&gt;"&amp;E82)&gt;=1,LARGE(LP01_old_rates,COUNTIF(LP01_old_rates,"&gt;"&amp;E82)),E82)</f>
        <v>Select</v>
      </c>
      <c r="F84" s="116"/>
      <c r="G84" s="71"/>
      <c r="H84" s="116"/>
      <c r="I84" s="116"/>
      <c r="J84" s="116"/>
      <c r="K84" s="116"/>
      <c r="L84" s="116"/>
      <c r="M84" s="84"/>
      <c r="N84" s="116"/>
      <c r="O84" s="116"/>
      <c r="P84" s="116"/>
      <c r="Q84" s="89" t="s">
        <v>87</v>
      </c>
      <c r="R84" s="71" t="str">
        <f>IF(COUNTIF(LP01_old_rates,"&gt;"&amp;R82)&gt;=1,LARGE(LP01_old_rates,COUNTIF(LP01_old_rates,"&gt;"&amp;R82)),R82)</f>
        <v>Select</v>
      </c>
      <c r="S84" s="116"/>
      <c r="T84" s="116"/>
      <c r="U84" s="116"/>
      <c r="V84" s="116"/>
      <c r="W84" s="116"/>
      <c r="X84" s="116"/>
      <c r="Y84" s="116"/>
      <c r="Z84" s="116"/>
      <c r="AA84" s="116"/>
      <c r="AB84" s="306"/>
      <c r="AC84" s="306"/>
      <c r="AD84" s="306"/>
      <c r="AE84" s="306"/>
      <c r="AF84" s="306"/>
    </row>
    <row r="85" spans="1:32" ht="43.15" customHeight="1" x14ac:dyDescent="0.25">
      <c r="A85" s="71"/>
      <c r="B85" s="71"/>
      <c r="C85" s="93"/>
      <c r="D85" s="89" t="s">
        <v>87</v>
      </c>
      <c r="E85" s="71" t="str">
        <f>IF(COUNTIF(LP01_old_rates,"&gt;"&amp;E84)&gt;=1,LARGE(LP01_old_rates,COUNTIF(LP01_old_rates,"&gt;"&amp;E84)),E84)</f>
        <v>Select</v>
      </c>
      <c r="F85" s="116"/>
      <c r="G85" s="71"/>
      <c r="H85" s="116"/>
      <c r="I85" s="116"/>
      <c r="J85" s="116"/>
      <c r="K85" s="116"/>
      <c r="L85" s="116"/>
      <c r="M85" s="116"/>
      <c r="N85" s="116"/>
      <c r="O85" s="116"/>
      <c r="P85" s="116"/>
      <c r="Q85" s="221" t="s">
        <v>99</v>
      </c>
      <c r="R85" s="71" t="str">
        <f>IF(COUNTIF(LP01_old_rates,"&gt;"&amp;R84)&gt;=1,LARGE(LP01_old_rates,COUNTIF(LP01_old_rates,"&gt;"&amp;R84)),R84)</f>
        <v>Select</v>
      </c>
      <c r="S85" s="116"/>
      <c r="T85" s="116"/>
      <c r="U85" s="116"/>
      <c r="V85" s="116"/>
      <c r="W85" s="116"/>
      <c r="X85" s="116"/>
      <c r="Y85" s="116"/>
      <c r="Z85" s="116"/>
      <c r="AA85" s="116"/>
      <c r="AB85" s="306"/>
      <c r="AC85" s="306"/>
      <c r="AD85" s="306"/>
      <c r="AE85" s="306"/>
      <c r="AF85" s="306"/>
    </row>
    <row r="86" spans="1:32" ht="43.15" customHeight="1" x14ac:dyDescent="0.25">
      <c r="A86" s="71"/>
      <c r="B86" s="71"/>
      <c r="C86" s="93"/>
      <c r="D86" s="92">
        <v>43961</v>
      </c>
      <c r="E86" s="71"/>
      <c r="F86" s="90" t="str">
        <f>IF(AND(J16&gt;D86,LARGE(LP01_old_rates,1)=E84),SUM(E85*J20),"0")</f>
        <v>0</v>
      </c>
      <c r="G86" s="71"/>
      <c r="H86" s="116"/>
      <c r="I86" s="116"/>
      <c r="J86" s="116"/>
      <c r="K86" s="116"/>
      <c r="L86" s="116"/>
      <c r="M86" s="84"/>
      <c r="N86" s="116"/>
      <c r="O86" s="116"/>
      <c r="P86" s="116"/>
      <c r="Q86" s="92">
        <v>43961</v>
      </c>
      <c r="R86" s="71"/>
      <c r="S86" s="90" t="str">
        <f>IF(AND(J16&gt;Q86,LARGE(LP01_old_rates,1)=R84),SUM(R85*J20),"0")</f>
        <v>0</v>
      </c>
      <c r="T86" s="116"/>
      <c r="U86" s="116"/>
      <c r="V86" s="116"/>
      <c r="W86" s="116"/>
      <c r="X86" s="116"/>
      <c r="Y86" s="116"/>
      <c r="Z86" s="116"/>
      <c r="AA86" s="116"/>
      <c r="AB86" s="306"/>
      <c r="AC86" s="306"/>
      <c r="AD86" s="306"/>
      <c r="AE86" s="306"/>
      <c r="AF86" s="306"/>
    </row>
    <row r="87" spans="1:32" ht="43.15" customHeight="1" x14ac:dyDescent="0.25">
      <c r="A87" s="71"/>
      <c r="B87" s="71"/>
      <c r="C87" s="93"/>
      <c r="D87" s="220" t="s">
        <v>100</v>
      </c>
      <c r="E87" s="71" t="str">
        <f>IF(COUNTIF(LP01_old_rates,"&gt;"&amp;E85)&gt;=1,LARGE(LP01_old_rates,COUNTIF(LP01_old_rates,"&gt;"&amp;E85)),E85)</f>
        <v>Select</v>
      </c>
      <c r="F87" s="116"/>
      <c r="G87" s="295"/>
      <c r="H87" s="295"/>
      <c r="I87" s="295"/>
      <c r="J87" s="295"/>
      <c r="K87" s="295"/>
      <c r="L87" s="295"/>
      <c r="M87" s="295"/>
      <c r="N87" s="222"/>
      <c r="O87" s="116"/>
      <c r="P87" s="116"/>
      <c r="Q87" s="89" t="s">
        <v>88</v>
      </c>
      <c r="R87" s="71" t="str">
        <f>IF(COUNTIF(LP01_old_rates,"&gt;"&amp;R85)&gt;=1,LARGE(LP01_old_rates,COUNTIF(LP01_old_rates,"&gt;"&amp;R85)),R85)</f>
        <v>Select</v>
      </c>
      <c r="S87" s="116"/>
      <c r="T87" s="116"/>
      <c r="U87" s="116"/>
      <c r="V87" s="116"/>
      <c r="W87" s="116"/>
      <c r="X87" s="116"/>
      <c r="Y87" s="116"/>
      <c r="Z87" s="116"/>
      <c r="AA87" s="116"/>
      <c r="AB87" s="306"/>
      <c r="AC87" s="306"/>
      <c r="AD87" s="306"/>
      <c r="AE87" s="306"/>
      <c r="AF87" s="306"/>
    </row>
    <row r="88" spans="1:32" ht="43.15" customHeight="1" x14ac:dyDescent="0.25">
      <c r="A88" s="71"/>
      <c r="B88" s="71"/>
      <c r="C88" s="93"/>
      <c r="D88" s="89" t="s">
        <v>88</v>
      </c>
      <c r="E88" s="71" t="str">
        <f>IF(COUNTIF(LP01_old_rates,"&gt;"&amp;E87)&gt;=1,LARGE(LP01_old_rates,COUNTIF(LP01_old_rates,"&gt;"&amp;E87)),E87)</f>
        <v>Select</v>
      </c>
      <c r="F88" s="116"/>
      <c r="G88" s="295"/>
      <c r="H88" s="295"/>
      <c r="I88" s="295"/>
      <c r="J88" s="295"/>
      <c r="K88" s="295"/>
      <c r="L88" s="116"/>
      <c r="M88" s="116"/>
      <c r="N88" s="116"/>
      <c r="O88" s="116"/>
      <c r="P88" s="116"/>
      <c r="Q88" s="221" t="s">
        <v>100</v>
      </c>
      <c r="R88" s="71" t="str">
        <f>IF(COUNTIF(LP01_old_rates,"&gt;"&amp;R87)&gt;=1,LARGE(LP01_old_rates,COUNTIF(LP01_old_rates,"&gt;"&amp;R87)),R87)</f>
        <v>Select</v>
      </c>
      <c r="S88" s="116"/>
      <c r="T88" s="116"/>
      <c r="U88" s="116"/>
      <c r="V88" s="116"/>
      <c r="W88" s="116"/>
      <c r="X88" s="116"/>
      <c r="Y88" s="116"/>
      <c r="Z88" s="116"/>
      <c r="AA88" s="116"/>
      <c r="AB88" s="306"/>
      <c r="AC88" s="306"/>
      <c r="AD88" s="306"/>
      <c r="AE88" s="306"/>
      <c r="AF88" s="306"/>
    </row>
    <row r="89" spans="1:32" ht="43.15" customHeight="1" x14ac:dyDescent="0.25">
      <c r="A89" s="71"/>
      <c r="B89" s="71"/>
      <c r="C89" s="93"/>
      <c r="D89" s="92">
        <v>44326</v>
      </c>
      <c r="E89" s="71"/>
      <c r="F89" s="90" t="str">
        <f>IF(AND(J16&gt;D89,LARGE(LP01_old_rates,1)=E87),SUM(E88*J20),"0")</f>
        <v>0</v>
      </c>
      <c r="G89" s="295"/>
      <c r="H89" s="295"/>
      <c r="I89" s="295"/>
      <c r="J89" s="295"/>
      <c r="K89" s="295"/>
      <c r="L89" s="295"/>
      <c r="M89" s="295"/>
      <c r="N89" s="222"/>
      <c r="O89" s="116"/>
      <c r="P89" s="116"/>
      <c r="Q89" s="92">
        <v>44326</v>
      </c>
      <c r="R89" s="71"/>
      <c r="S89" s="90" t="str">
        <f>IF(AND(J16&gt;Q89,LARGE(LP01_old_rates,1)=R87),SUM(R88*J20),"0")</f>
        <v>0</v>
      </c>
      <c r="T89" s="116"/>
      <c r="U89" s="116"/>
      <c r="V89" s="116"/>
      <c r="W89" s="116"/>
      <c r="X89" s="116"/>
      <c r="Y89" s="116"/>
      <c r="Z89" s="116"/>
      <c r="AA89" s="116"/>
      <c r="AB89" s="306"/>
      <c r="AC89" s="306"/>
      <c r="AD89" s="306"/>
      <c r="AE89" s="306"/>
      <c r="AF89" s="306"/>
    </row>
    <row r="90" spans="1:32" ht="43.15" customHeight="1" x14ac:dyDescent="0.25">
      <c r="A90" s="116"/>
      <c r="B90" s="91"/>
      <c r="C90" s="91"/>
      <c r="D90" s="220" t="s">
        <v>101</v>
      </c>
      <c r="E90" s="71" t="str">
        <f>IF(COUNTIF(LP01_old_rates,"&gt;"&amp;E88)&gt;=1,LARGE(LP01_old_rates,COUNTIF(LP01_old_rates,"&gt;"&amp;E88)),E88)</f>
        <v>Select</v>
      </c>
      <c r="F90" s="116"/>
      <c r="G90" s="71"/>
      <c r="H90" s="87"/>
      <c r="I90" s="93"/>
      <c r="J90" s="71"/>
      <c r="K90" s="295"/>
      <c r="L90" s="295"/>
      <c r="M90" s="94"/>
      <c r="N90" s="116"/>
      <c r="O90" s="116"/>
      <c r="P90" s="116"/>
      <c r="Q90" s="89" t="s">
        <v>89</v>
      </c>
      <c r="R90" s="71" t="str">
        <f>IF(COUNTIF(LP01_old_rates,"&gt;"&amp;R88)&gt;=1,LARGE(LP01_old_rates,COUNTIF(LP01_old_rates,"&gt;"&amp;R88)),R88)</f>
        <v>Select</v>
      </c>
      <c r="S90" s="116"/>
      <c r="T90" s="116"/>
      <c r="U90" s="116"/>
      <c r="V90" s="116"/>
      <c r="W90" s="116"/>
      <c r="X90" s="116"/>
      <c r="Y90" s="116"/>
      <c r="Z90" s="116"/>
      <c r="AA90" s="116"/>
      <c r="AB90" s="306"/>
      <c r="AC90" s="306"/>
      <c r="AD90" s="306"/>
      <c r="AE90" s="306"/>
      <c r="AF90" s="306"/>
    </row>
    <row r="91" spans="1:32" ht="43.15" customHeight="1" x14ac:dyDescent="0.25">
      <c r="A91" s="116"/>
      <c r="B91" s="91"/>
      <c r="C91" s="91"/>
      <c r="D91" s="89" t="s">
        <v>89</v>
      </c>
      <c r="E91" s="71" t="str">
        <f>IF(COUNTIF(LP01_old_rates,"&gt;"&amp;E90)&gt;=1,LARGE(LP01_old_rates,COUNTIF(LP01_old_rates,"&gt;"&amp;E90)),E90)</f>
        <v>Select</v>
      </c>
      <c r="F91" s="116"/>
      <c r="G91" s="71"/>
      <c r="H91" s="87"/>
      <c r="I91" s="93"/>
      <c r="J91" s="71"/>
      <c r="K91" s="295"/>
      <c r="L91" s="116"/>
      <c r="M91" s="116"/>
      <c r="N91" s="116"/>
      <c r="O91" s="116"/>
      <c r="P91" s="116"/>
      <c r="Q91" s="221" t="s">
        <v>101</v>
      </c>
      <c r="R91" s="71" t="str">
        <f>IF(COUNTIF(LP01_old_rates,"&gt;"&amp;R90)&gt;=1,LARGE(LP01_old_rates,COUNTIF(LP01_old_rates,"&gt;"&amp;R90)),R90)</f>
        <v>Select</v>
      </c>
      <c r="S91" s="116"/>
      <c r="T91" s="116"/>
      <c r="U91" s="116"/>
      <c r="V91" s="116"/>
      <c r="W91" s="116"/>
      <c r="X91" s="116"/>
      <c r="Y91" s="116"/>
      <c r="Z91" s="116"/>
      <c r="AA91" s="116"/>
      <c r="AB91" s="306"/>
      <c r="AC91" s="306"/>
      <c r="AD91" s="306"/>
      <c r="AE91" s="306"/>
      <c r="AF91" s="306"/>
    </row>
    <row r="92" spans="1:32" ht="43.15" customHeight="1" x14ac:dyDescent="0.25">
      <c r="A92" s="116"/>
      <c r="B92" s="91"/>
      <c r="C92" s="91"/>
      <c r="D92" s="95">
        <v>44691</v>
      </c>
      <c r="E92" s="71"/>
      <c r="F92" s="90"/>
      <c r="G92" s="71"/>
      <c r="H92" s="87"/>
      <c r="I92" s="93"/>
      <c r="J92" s="71"/>
      <c r="K92" s="295"/>
      <c r="L92" s="116"/>
      <c r="M92" s="116"/>
      <c r="N92" s="116"/>
      <c r="O92" s="116"/>
      <c r="P92" s="116"/>
      <c r="Q92" s="221"/>
      <c r="R92" s="71"/>
      <c r="S92" s="116"/>
      <c r="T92" s="116"/>
      <c r="U92" s="116"/>
      <c r="V92" s="116"/>
      <c r="W92" s="116"/>
      <c r="X92" s="116"/>
      <c r="Y92" s="116"/>
      <c r="Z92" s="116"/>
      <c r="AA92" s="116"/>
      <c r="AB92" s="306"/>
      <c r="AC92" s="306"/>
      <c r="AD92" s="306"/>
      <c r="AE92" s="306"/>
      <c r="AF92" s="306"/>
    </row>
    <row r="93" spans="1:32" ht="26.25" x14ac:dyDescent="0.4">
      <c r="A93" s="59" t="s">
        <v>83</v>
      </c>
      <c r="B93" s="93"/>
      <c r="C93" s="71"/>
      <c r="D93" s="89"/>
      <c r="E93" s="71"/>
      <c r="F93" s="90"/>
      <c r="G93" s="71"/>
      <c r="H93" s="96"/>
      <c r="I93" s="93"/>
      <c r="J93" s="71"/>
      <c r="K93" s="295"/>
      <c r="L93" s="94"/>
      <c r="M93" s="94"/>
      <c r="N93" s="116"/>
      <c r="O93" s="59" t="s">
        <v>82</v>
      </c>
      <c r="P93" s="116"/>
      <c r="Q93" s="116"/>
      <c r="R93" s="116"/>
      <c r="S93" s="116"/>
      <c r="T93" s="116"/>
      <c r="U93" s="116"/>
      <c r="V93" s="116"/>
      <c r="W93" s="116"/>
      <c r="X93" s="116"/>
      <c r="Y93" s="116"/>
      <c r="Z93" s="116"/>
      <c r="AA93" s="116"/>
      <c r="AB93" s="306"/>
      <c r="AC93" s="306"/>
      <c r="AD93" s="306"/>
      <c r="AE93" s="306"/>
      <c r="AF93" s="306"/>
    </row>
    <row r="94" spans="1:32" ht="21" x14ac:dyDescent="0.35">
      <c r="A94" s="63" t="s">
        <v>77</v>
      </c>
      <c r="B94" s="93"/>
      <c r="C94" s="71"/>
      <c r="D94" s="89"/>
      <c r="E94" s="71"/>
      <c r="F94" s="90"/>
      <c r="G94" s="71"/>
      <c r="H94" s="96"/>
      <c r="I94" s="93"/>
      <c r="J94" s="71"/>
      <c r="K94" s="295"/>
      <c r="L94" s="94"/>
      <c r="M94" s="94"/>
      <c r="N94" s="116"/>
      <c r="O94" s="71"/>
      <c r="P94" s="116"/>
      <c r="Q94" s="116"/>
      <c r="R94" s="116"/>
      <c r="S94" s="116"/>
      <c r="T94" s="116"/>
      <c r="U94" s="116"/>
      <c r="V94" s="116"/>
      <c r="W94" s="116"/>
      <c r="X94" s="116"/>
      <c r="Y94" s="116"/>
      <c r="Z94" s="116"/>
      <c r="AA94" s="116"/>
      <c r="AB94" s="306"/>
      <c r="AC94" s="306"/>
      <c r="AD94" s="306"/>
      <c r="AE94" s="306"/>
      <c r="AF94" s="306"/>
    </row>
    <row r="95" spans="1:32" ht="72" customHeight="1" x14ac:dyDescent="0.25">
      <c r="A95" s="93"/>
      <c r="B95" s="93"/>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306"/>
      <c r="AC95" s="306"/>
      <c r="AD95" s="306"/>
      <c r="AE95" s="306"/>
      <c r="AF95" s="306"/>
    </row>
    <row r="96" spans="1:32" ht="43.15" customHeight="1" x14ac:dyDescent="0.25">
      <c r="A96" s="89"/>
      <c r="B96" s="97" t="s">
        <v>95</v>
      </c>
      <c r="C96" s="97" t="s">
        <v>92</v>
      </c>
      <c r="D96" s="223" t="s">
        <v>90</v>
      </c>
      <c r="E96" s="97" t="s">
        <v>93</v>
      </c>
      <c r="F96" s="223" t="s">
        <v>94</v>
      </c>
      <c r="G96" s="223" t="s">
        <v>33</v>
      </c>
      <c r="H96" s="224" t="s">
        <v>102</v>
      </c>
      <c r="I96" s="223" t="s">
        <v>96</v>
      </c>
      <c r="J96" s="223" t="s">
        <v>36</v>
      </c>
      <c r="K96" s="224" t="s">
        <v>103</v>
      </c>
      <c r="L96" s="223" t="s">
        <v>97</v>
      </c>
      <c r="M96" s="223" t="s">
        <v>38</v>
      </c>
      <c r="N96" s="116"/>
      <c r="O96" s="89"/>
      <c r="P96" s="97" t="s">
        <v>105</v>
      </c>
      <c r="Q96" s="97" t="s">
        <v>106</v>
      </c>
      <c r="R96" s="223" t="s">
        <v>107</v>
      </c>
      <c r="S96" s="97" t="s">
        <v>108</v>
      </c>
      <c r="T96" s="223" t="s">
        <v>109</v>
      </c>
      <c r="U96" s="223" t="s">
        <v>110</v>
      </c>
      <c r="V96" s="224" t="s">
        <v>111</v>
      </c>
      <c r="W96" s="223" t="s">
        <v>112</v>
      </c>
      <c r="X96" s="223" t="s">
        <v>113</v>
      </c>
      <c r="Y96" s="224" t="s">
        <v>114</v>
      </c>
      <c r="Z96" s="223" t="s">
        <v>115</v>
      </c>
      <c r="AA96" s="223" t="s">
        <v>116</v>
      </c>
      <c r="AB96" s="306"/>
      <c r="AC96" s="306"/>
      <c r="AD96" s="306"/>
      <c r="AE96" s="306"/>
      <c r="AF96" s="306"/>
    </row>
    <row r="97" spans="1:32" ht="43.15" customHeight="1" x14ac:dyDescent="0.25">
      <c r="A97" s="98" t="s">
        <v>22</v>
      </c>
      <c r="B97" s="99" t="e">
        <f>SUM((H54/26.088/10*(NETWORKDAYS(B54,C55-1)))-(J11/26.088/10*(NETWORKDAYS(B54,C55-1))))</f>
        <v>#VALUE!</v>
      </c>
      <c r="C97" s="225" t="e">
        <f>SUM((H55/26.088/10*(NETWORKDAYS(C55,C56-1)))-(E81/26.088/10*(NETWORKDAYS(C55,C56-1))))</f>
        <v>#VALUE!</v>
      </c>
      <c r="D97" s="225" t="e">
        <f>SUM((H56/26.088/10*(NETWORKDAYS(C56,B58-1)))-(E82/26.088/10*(NETWORKDAYS(C56,B58-1))))</f>
        <v>#VALUE!</v>
      </c>
      <c r="E97" s="99" t="e">
        <f>IF(J16&lt;=C59,SUM((H58/26.088/10*(NETWORKDAYS(B58,J16)))-(E82/26.088/10*(NETWORKDAYS(B58,J16)))),SUM((H58/26.088/10*(NETWORKDAYS(B58,C59-1)))-(E82/26.088/10*(NETWORKDAYS(B58,C59-1)))))</f>
        <v>#VALUE!</v>
      </c>
      <c r="F97" s="225" t="e">
        <f>IF(J16&lt;=C60,SUM((H59/26.088/10*(NETWORKDAYS(C59,J16)))-(E84/26.088/10*(NETWORKDAYS(C59,J16)))),SUM((H59/26.088/10*(NETWORKDAYS(C59,C60-1)))-(E84/26.088/10*(NETWORKDAYS(C59,C60-1)))))</f>
        <v>#VALUE!</v>
      </c>
      <c r="G97" s="307" t="e">
        <f>IF(AND(J16&lt;=C60)=TRUE,0,IF(J16&lt;=B62,SUM((H60/26.088/10*(NETWORKDAYS(C60,J16)))-(E85/26.088/10*(NETWORKDAYS(C60,J16)))),SUM((H60/26.088/10*(NETWORKDAYS(C60,B62-1)))-(E85/26.088/10*(NETWORKDAYS(C60,B62-1))))))</f>
        <v>#VALUE!</v>
      </c>
      <c r="H97" s="308">
        <f>IF(AND(J16&lt;=B62)=TRUE,0,IF(J16&lt;=C63,SUM((H62/26.088/10*(NETWORKDAYS(B62,J16)))-(E85/26.088/10*(NETWORKDAYS(B62,J16)))),SUM((H62/26.088/10*(NETWORKDAYS(B62,C63-1)))-(E85/26.088/10*(NETWORKDAYS(B62,C63-1))))))</f>
        <v>0</v>
      </c>
      <c r="I97" s="307" t="e">
        <f>IF(AND(J16&lt;=C63)=TRUE,0,IF(J16&lt;=C64,SUM((H63/26.088/10*(NETWORKDAYS(C63,J16)))-(E87/26.088/10*(NETWORKDAYS(C63,J16)))),SUM((H63/26.088/10*(NETWORKDAYS(C63,C64-1)))-(E87/26.088/10*(NETWORKDAYS(C63,C64-1))))))</f>
        <v>#VALUE!</v>
      </c>
      <c r="J97" s="307">
        <f>IF(AND(J16&lt;=C64)=TRUE,0,IF(J16&lt;=B66,SUM((H64/26.088/10*(NETWORKDAYS(C64,J16)))-(E88/26.088/10*(NETWORKDAYS(C64,J16)))),SUM((H64/26.088/10*(NETWORKDAYS(C64,B66-1)))-(E88/26.088/10*(NETWORKDAYS(C64,B66-1))))))</f>
        <v>0</v>
      </c>
      <c r="K97" s="308">
        <f>IF(AND(J16&lt;=B66)=TRUE,0,IF(J16&lt;=C67,SUM((H66/26.088/10*(NETWORKDAYS(B66,J16)))-(E88/26.088/10*(NETWORKDAYS(B66,J16)))),SUM((H66/26.088/10*(NETWORKDAYS(B66,C67-1)))-(E88/26.088/10*(NETWORKDAYS(B66,C67-1))))))</f>
        <v>0</v>
      </c>
      <c r="L97" s="309">
        <f>IF(AND(J16&lt;=C67)=TRUE,0,IF(J16&lt;=C68,SUM((H67/26.088/10*(NETWORKDAYS(C67,J16)))-(E90/26.088/10*(NETWORKDAYS(C67,J16)))),SUM((H67/26.088/10*(NETWORKDAYS(C67,C68-1)))-(E90/26.088/10*(NETWORKDAYS(C67,C68-1))))))</f>
        <v>0</v>
      </c>
      <c r="M97" s="309">
        <f>IF(AND(J16&lt;=C68)=TRUE,0,IF(J16&lt;=B71,SUM((H68/26.088/10*(NETWORKDAYS(C68,J16)))-(E91/26.088/10*(NETWORKDAYS(C68,J16)))),SUM((H68/26.088/10*(NETWORKDAYS(C68,B71-1)))-(E91/26.088/10*(NETWORKDAYS(C68,B71-1))))))</f>
        <v>0</v>
      </c>
      <c r="N97" s="116"/>
      <c r="O97" s="98" t="s">
        <v>22</v>
      </c>
      <c r="P97" s="99" t="e">
        <f>SUM((V54/26.088/10*(NETWORKDAYS(P54,Q55-1)))-(J11/26.088/10*(NETWORKDAYS(P54,Q55-1))))</f>
        <v>#VALUE!</v>
      </c>
      <c r="Q97" s="225" t="e">
        <f>SUM((V55/26.088/10*(NETWORKDAYS(Q55,Q56-1)))-(R81/26.088/10*(NETWORKDAYS(Q55,Q56-1))))</f>
        <v>#VALUE!</v>
      </c>
      <c r="R97" s="225" t="e">
        <f>SUM((V56/26.088/10*(NETWORKDAYS(Q56,P58-1)))-(R82/26.088/10*(NETWORKDAYS(Q56,P58-1))))</f>
        <v>#VALUE!</v>
      </c>
      <c r="S97" s="99" t="e">
        <f>IF(J16&lt;=Q59,SUM((V58/26.088/10*(NETWORKDAYS(P58,J16)))-(R82/26.088/10*(NETWORKDAYS(P58,J16)))),SUM((V58/26.088/10*(NETWORKDAYS(P58,Q59-1)))-(R82/26.088/10*(NETWORKDAYS(P58,Q59-1)))))</f>
        <v>#VALUE!</v>
      </c>
      <c r="T97" s="225" t="e">
        <f>IF(J16&lt;=Q60,SUM((V59/26.088/10*(NETWORKDAYS(Q59,J16)))-(R84/26.088/10*(NETWORKDAYS(Q59,J16)))),SUM((V59/26.088/10*(NETWORKDAYS(Q59,Q60-1)))-(R84/26.088/10*(NETWORKDAYS(Q59,Q60-1)))))</f>
        <v>#VALUE!</v>
      </c>
      <c r="U97" s="99" t="e">
        <f>IF(AND(J16&lt;=Q60)=TRUE,0,IF(J16&lt;=P62,SUM((V60/26.088/10*(NETWORKDAYS(Q60,J16)))-(R85/26.088/10*(NETWORKDAYS(Q60,J16)))),SUM((V60/26.088/10*(NETWORKDAYS(Q60,P62-1)))-(R85/26.088/10*(NETWORKDAYS(Q60,P62-1))))))</f>
        <v>#VALUE!</v>
      </c>
      <c r="V97" s="225">
        <f>IF(AND(J16&lt;=P62)=TRUE,0,IF(J16&lt;=Q63,SUM((V62/26.088/10*(NETWORKDAYS(P62,J16)))-(R85/26.088/10*(NETWORKDAYS(P62,J16)))),SUM((V62/26.088/10*(NETWORKDAYS(P62,Q63-1)))-(R85/26.088/10*(NETWORKDAYS(P62,Q63-1))))))</f>
        <v>0</v>
      </c>
      <c r="W97" s="99">
        <f>IF(AND(J16&lt;=Q63)=TRUE,0,IF(J16&lt;=Q64,SUM((V63/26.088/10*(NETWORKDAYS(Q63,J16)))-(R87/26.088/10*(NETWORKDAYS(Q63,J16)))),SUM((V63/26.088/10*(NETWORKDAYS(Q63,Q64-1)))-(R87/26.088/10*(NETWORKDAYS(Q63,Q64-1))))))</f>
        <v>0</v>
      </c>
      <c r="X97" s="99">
        <f>IF(AND(J16&lt;=Q64)=TRUE,0,IF(J16&lt;=P66,SUM((V64/26.088/10*(NETWORKDAYS(Q64,J16)))-(R88/26.088/10*(NETWORKDAYS(Q64,J16)))),SUM((V64/26.088/10*(NETWORKDAYS(Q64,P66-1)))-(R88/26.088/10*(NETWORKDAYS(Q64,P66-1))))))</f>
        <v>0</v>
      </c>
      <c r="Y97" s="225">
        <f>IF(AND(J16&lt;=P66)=TRUE,0,IF(J16&lt;=Q67,SUM((V66/26.088/10*(NETWORKDAYS(P66,J16)))-(R88/26.088/10*(NETWORKDAYS(P66,J16)))),SUM((V66/26.088/10*(NETWORKDAYS(P66,Q67-1)))-(R88/26.088/10*(NETWORKDAYS(P66,Q67-1))))))</f>
        <v>0</v>
      </c>
      <c r="Z97" s="100">
        <f>IF(AND(J16&lt;=Q67)=TRUE,0,IF(J16&lt;=Q68,SUM((V67/26.088/10*(NETWORKDAYS(Q67,J16)))-(R90/26.088/10*(NETWORKDAYS(Q67,J16)))),SUM((V67/26.088/10*(NETWORKDAYS(Q67,Q68-1)))-(R90/26.088/10*(NETWORKDAYS(Q67,Q68-1))))))</f>
        <v>0</v>
      </c>
      <c r="AA97" s="100">
        <f>IF(AND(J16&lt;=Q68)=TRUE,0,IF(J16&lt;=P71,SUM((V68/26.088/10*(NETWORKDAYS(Q68,J16)))-(R91/26.088/10*(NETWORKDAYS(Q68,J16)))),SUM((V68/26.088/10*(NETWORKDAYS(Q68,P71-1)))-(R91/26.088/10*(NETWORKDAYS(Q68,P71-1))))))</f>
        <v>0</v>
      </c>
      <c r="AB97" s="306"/>
      <c r="AC97" s="306"/>
      <c r="AD97" s="306"/>
      <c r="AE97" s="310"/>
      <c r="AF97" s="306"/>
    </row>
    <row r="98" spans="1:32" ht="157.5" x14ac:dyDescent="0.25">
      <c r="A98" s="101" t="s">
        <v>39</v>
      </c>
      <c r="B98" s="102" t="e">
        <f>IF(B97&gt;0,H57-F80,0)</f>
        <v>#VALUE!</v>
      </c>
      <c r="C98" s="116"/>
      <c r="D98" s="102"/>
      <c r="E98" s="102" t="e">
        <f>IF(OR(E97=0,F97=0)=TRUE,0,H61-F83)</f>
        <v>#VALUE!</v>
      </c>
      <c r="F98" s="102"/>
      <c r="G98" s="116"/>
      <c r="H98" s="102" t="e">
        <f>IF(OR(H97=0,I97=0)=TRUE,0,H65-F86)</f>
        <v>#VALUE!</v>
      </c>
      <c r="I98" s="116"/>
      <c r="J98" s="102">
        <f>IF(OR(K97=0,L97=0)=TRUE,0,H69-F89)</f>
        <v>0</v>
      </c>
      <c r="K98" s="226"/>
      <c r="L98" s="103"/>
      <c r="M98" s="103"/>
      <c r="N98" s="116"/>
      <c r="O98" s="101" t="s">
        <v>39</v>
      </c>
      <c r="P98" s="90" t="e">
        <f>IF(P97&gt;0,V57-S80,0)</f>
        <v>#VALUE!</v>
      </c>
      <c r="Q98" s="227"/>
      <c r="R98" s="227"/>
      <c r="S98" s="90" t="e">
        <f>IF(OR(S97=0,T97=0)=TRUE,0,V61-S83)</f>
        <v>#VALUE!</v>
      </c>
      <c r="T98" s="116"/>
      <c r="U98" s="116"/>
      <c r="V98" s="90">
        <f>IF(OR(V97=0,W97=0)=TRUE,0,V65-S86)</f>
        <v>0</v>
      </c>
      <c r="W98" s="88"/>
      <c r="X98" s="88"/>
      <c r="Y98" s="226">
        <f>IF(OR(Y97=0,Z97=0)=TRUE,0,V69-S89)</f>
        <v>0</v>
      </c>
      <c r="Z98" s="103"/>
      <c r="AA98" s="103"/>
      <c r="AB98" s="306"/>
      <c r="AC98" s="306" t="e">
        <f>IF(J16&gt;Q60,SUM((V60/26.088/10*(NETWORKDAYS(Q60,J16)))-(R85/26.088/10*(NETWORKDAYS(Q60,J16)))))</f>
        <v>#VALUE!</v>
      </c>
      <c r="AD98" s="310" t="e">
        <f>SUM((V60/26.088/10*(NETWORKDAYS(Q60,J16))))</f>
        <v>#VALUE!</v>
      </c>
      <c r="AE98" s="311" t="e">
        <f>SUM(R85/26.088/10*(NETWORKDAYS(Q60,J16)))</f>
        <v>#VALUE!</v>
      </c>
      <c r="AF98" s="306" t="e">
        <f>AD98-AE98</f>
        <v>#VALUE!</v>
      </c>
    </row>
    <row r="99" spans="1:32" x14ac:dyDescent="0.25">
      <c r="A99" s="101"/>
      <c r="B99" s="102"/>
      <c r="C99" s="102"/>
      <c r="D99" s="102"/>
      <c r="E99" s="102"/>
      <c r="F99" s="102"/>
      <c r="G99" s="102"/>
      <c r="H99" s="102"/>
      <c r="I99" s="88"/>
      <c r="J99" s="88"/>
      <c r="K99" s="226"/>
      <c r="L99" s="103"/>
      <c r="M99" s="103"/>
      <c r="N99" s="116"/>
      <c r="O99" s="101"/>
      <c r="P99" s="90"/>
      <c r="Q99" s="227"/>
      <c r="R99" s="227"/>
      <c r="S99" s="90"/>
      <c r="T99" s="116"/>
      <c r="U99" s="90"/>
      <c r="V99" s="116"/>
      <c r="W99" s="88"/>
      <c r="X99" s="88"/>
      <c r="Y99" s="226"/>
      <c r="Z99" s="103"/>
      <c r="AA99" s="103"/>
      <c r="AB99" s="306"/>
      <c r="AC99" s="306"/>
      <c r="AD99" s="306">
        <f>NETWORKDAYS(Q60,J16)</f>
        <v>3</v>
      </c>
      <c r="AE99" s="306">
        <f>NETWORKDAYS(Q60,J16)</f>
        <v>3</v>
      </c>
      <c r="AF99" s="306"/>
    </row>
    <row r="100" spans="1:32" ht="315" x14ac:dyDescent="0.25">
      <c r="A100" s="98" t="s">
        <v>52</v>
      </c>
      <c r="B100" s="366" t="e">
        <f>SUM(B97:M97)</f>
        <v>#VALUE!</v>
      </c>
      <c r="C100" s="366"/>
      <c r="D100" s="71"/>
      <c r="E100" s="93"/>
      <c r="F100" s="104"/>
      <c r="G100" s="87"/>
      <c r="H100" s="93"/>
      <c r="I100" s="87"/>
      <c r="J100" s="93"/>
      <c r="K100" s="227"/>
      <c r="L100" s="93"/>
      <c r="M100" s="116"/>
      <c r="N100" s="116"/>
      <c r="O100" s="98" t="s">
        <v>52</v>
      </c>
      <c r="P100" s="368" t="e">
        <f>SUM(P97:AA97)</f>
        <v>#VALUE!</v>
      </c>
      <c r="Q100" s="368"/>
      <c r="R100" s="71"/>
      <c r="S100" s="93"/>
      <c r="T100" s="104"/>
      <c r="U100" s="87"/>
      <c r="V100" s="93"/>
      <c r="W100" s="87"/>
      <c r="X100" s="93"/>
      <c r="Y100" s="227"/>
      <c r="Z100" s="93"/>
      <c r="AA100" s="116"/>
      <c r="AB100" s="306"/>
      <c r="AC100" s="306"/>
      <c r="AD100" s="306"/>
      <c r="AE100" s="306"/>
      <c r="AF100" s="306"/>
    </row>
    <row r="101" spans="1:32" ht="409.5" x14ac:dyDescent="0.25">
      <c r="A101" s="98" t="s">
        <v>53</v>
      </c>
      <c r="B101" s="367" t="e">
        <f>SUM(B98:J98)</f>
        <v>#VALUE!</v>
      </c>
      <c r="C101" s="367"/>
      <c r="D101" s="105"/>
      <c r="E101" s="71"/>
      <c r="F101" s="71"/>
      <c r="G101" s="71"/>
      <c r="H101" s="71"/>
      <c r="I101" s="71"/>
      <c r="J101" s="71"/>
      <c r="K101" s="116"/>
      <c r="L101" s="71"/>
      <c r="M101" s="116"/>
      <c r="N101" s="116"/>
      <c r="O101" s="98" t="s">
        <v>53</v>
      </c>
      <c r="P101" s="367" t="e">
        <f>SUM(P98:AA98)</f>
        <v>#VALUE!</v>
      </c>
      <c r="Q101" s="367"/>
      <c r="R101" s="105"/>
      <c r="S101" s="71"/>
      <c r="T101" s="71"/>
      <c r="U101" s="71"/>
      <c r="V101" s="71"/>
      <c r="W101" s="71"/>
      <c r="X101" s="71"/>
      <c r="Y101" s="116"/>
      <c r="Z101" s="71"/>
      <c r="AA101" s="116"/>
      <c r="AB101" s="306"/>
      <c r="AC101" s="306"/>
      <c r="AD101" s="306"/>
      <c r="AE101" s="306"/>
      <c r="AF101" s="306"/>
    </row>
    <row r="102" spans="1:32" x14ac:dyDescent="0.25">
      <c r="A102" s="93"/>
      <c r="B102" s="93"/>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306"/>
      <c r="AC102" s="306"/>
      <c r="AD102" s="306"/>
      <c r="AE102" s="306"/>
      <c r="AF102" s="306"/>
    </row>
    <row r="103" spans="1:32" x14ac:dyDescent="0.25">
      <c r="A103" s="93"/>
      <c r="B103" s="93"/>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306"/>
      <c r="AC103" s="306"/>
      <c r="AD103" s="306"/>
      <c r="AE103" s="306"/>
      <c r="AF103" s="306"/>
    </row>
    <row r="104" spans="1:32" x14ac:dyDescent="0.25">
      <c r="A104" s="71"/>
      <c r="B104" s="71"/>
      <c r="C104" s="71"/>
      <c r="D104" s="71"/>
      <c r="E104" s="71"/>
      <c r="F104" s="71"/>
      <c r="G104" s="71"/>
      <c r="H104" s="71"/>
      <c r="I104" s="71"/>
      <c r="J104" s="71"/>
      <c r="K104" s="71"/>
      <c r="L104" s="71"/>
      <c r="M104" s="71"/>
      <c r="N104" s="116"/>
      <c r="O104" s="116"/>
      <c r="P104" s="116"/>
      <c r="Q104" s="116"/>
      <c r="R104" s="116"/>
      <c r="S104" s="116"/>
      <c r="T104" s="116"/>
      <c r="U104" s="116"/>
      <c r="V104" s="116"/>
      <c r="W104" s="116"/>
      <c r="X104" s="116"/>
      <c r="Y104" s="116"/>
      <c r="Z104" s="116"/>
      <c r="AA104" s="116"/>
      <c r="AB104" s="306"/>
      <c r="AC104" s="306"/>
      <c r="AD104" s="306"/>
      <c r="AE104" s="306"/>
      <c r="AF104" s="306"/>
    </row>
    <row r="105" spans="1:32" ht="21" x14ac:dyDescent="0.35">
      <c r="A105" s="63" t="s">
        <v>73</v>
      </c>
      <c r="B105" s="71"/>
      <c r="C105" s="71"/>
      <c r="D105" s="71"/>
      <c r="E105" s="71"/>
      <c r="F105" s="71"/>
      <c r="G105" s="71"/>
      <c r="H105" s="71"/>
      <c r="I105" s="71"/>
      <c r="J105" s="71"/>
      <c r="K105" s="71"/>
      <c r="L105" s="71"/>
      <c r="M105" s="71"/>
      <c r="N105" s="116"/>
      <c r="O105" s="116"/>
      <c r="P105" s="116"/>
      <c r="Q105" s="116"/>
      <c r="R105" s="116"/>
      <c r="S105" s="116"/>
      <c r="T105" s="116"/>
      <c r="U105" s="116"/>
      <c r="V105" s="116"/>
      <c r="W105" s="116"/>
      <c r="X105" s="116"/>
      <c r="Y105" s="116"/>
      <c r="Z105" s="116"/>
      <c r="AA105" s="116"/>
      <c r="AB105" s="306"/>
      <c r="AC105" s="306"/>
      <c r="AD105" s="306"/>
      <c r="AE105" s="306"/>
      <c r="AF105" s="306"/>
    </row>
    <row r="106" spans="1:32" ht="21" x14ac:dyDescent="0.35">
      <c r="A106" s="63" t="s">
        <v>117</v>
      </c>
      <c r="B106" s="71"/>
      <c r="C106" s="71"/>
      <c r="D106" s="71"/>
      <c r="E106" s="71"/>
      <c r="F106" s="71"/>
      <c r="G106" s="71"/>
      <c r="H106" s="71"/>
      <c r="I106" s="71"/>
      <c r="J106" s="71"/>
      <c r="K106" s="71"/>
      <c r="L106" s="71"/>
      <c r="M106" s="71"/>
      <c r="N106" s="116"/>
      <c r="O106" s="116"/>
      <c r="P106" s="116"/>
      <c r="Q106" s="116"/>
      <c r="R106" s="116"/>
      <c r="S106" s="116"/>
      <c r="T106" s="116"/>
      <c r="U106" s="116"/>
      <c r="V106" s="116"/>
      <c r="W106" s="116"/>
      <c r="X106" s="116"/>
      <c r="Y106" s="116"/>
      <c r="Z106" s="116"/>
      <c r="AA106" s="116"/>
      <c r="AB106" s="306"/>
      <c r="AC106" s="306"/>
      <c r="AD106" s="306"/>
      <c r="AE106" s="306"/>
      <c r="AF106" s="306"/>
    </row>
    <row r="107" spans="1:32" x14ac:dyDescent="0.25">
      <c r="A107" s="71"/>
      <c r="B107" s="106" t="s">
        <v>184</v>
      </c>
      <c r="C107" s="107"/>
      <c r="D107" s="106" t="s">
        <v>29</v>
      </c>
      <c r="E107" s="107"/>
      <c r="F107" s="107"/>
      <c r="G107" s="107"/>
      <c r="H107" s="107"/>
      <c r="I107" s="107"/>
      <c r="J107" s="71"/>
      <c r="K107" s="71"/>
      <c r="L107" s="71"/>
      <c r="M107" s="108"/>
      <c r="N107" s="108"/>
      <c r="O107" s="108"/>
      <c r="P107" s="116"/>
      <c r="Q107" s="116"/>
      <c r="R107" s="116"/>
      <c r="S107" s="116"/>
      <c r="T107" s="116"/>
      <c r="U107" s="116"/>
      <c r="V107" s="116"/>
      <c r="W107" s="116"/>
      <c r="X107" s="116"/>
      <c r="Y107" s="116"/>
      <c r="Z107" s="116"/>
      <c r="AA107" s="116"/>
      <c r="AB107" s="306"/>
      <c r="AC107" s="306"/>
      <c r="AD107" s="306"/>
      <c r="AE107" s="306"/>
      <c r="AF107" s="306"/>
    </row>
    <row r="108" spans="1:32" x14ac:dyDescent="0.25">
      <c r="A108" s="71"/>
      <c r="B108" s="107"/>
      <c r="C108" s="107"/>
      <c r="D108" s="109">
        <v>1</v>
      </c>
      <c r="E108" s="109">
        <v>2</v>
      </c>
      <c r="F108" s="109">
        <v>3</v>
      </c>
      <c r="G108" s="109">
        <v>4</v>
      </c>
      <c r="H108" s="109">
        <v>5</v>
      </c>
      <c r="I108" s="109">
        <v>6</v>
      </c>
      <c r="J108" s="71">
        <v>7</v>
      </c>
      <c r="K108" s="71">
        <v>8</v>
      </c>
      <c r="L108" s="71" t="str">
        <f>""</f>
        <v/>
      </c>
      <c r="M108" s="71" t="str">
        <f>""</f>
        <v/>
      </c>
      <c r="N108" s="71" t="str">
        <f>""</f>
        <v/>
      </c>
      <c r="O108" s="228"/>
      <c r="P108" s="116"/>
      <c r="Q108" s="116"/>
      <c r="R108" s="116"/>
      <c r="S108" s="116"/>
      <c r="T108" s="116"/>
      <c r="U108" s="116"/>
      <c r="V108" s="116"/>
      <c r="W108" s="116"/>
      <c r="X108" s="116"/>
      <c r="Y108" s="116"/>
      <c r="Z108" s="116"/>
      <c r="AA108" s="116"/>
      <c r="AB108" s="306"/>
      <c r="AC108" s="306"/>
      <c r="AD108" s="306"/>
      <c r="AE108" s="306"/>
      <c r="AF108" s="306"/>
    </row>
    <row r="109" spans="1:32" x14ac:dyDescent="0.25">
      <c r="A109" s="71"/>
      <c r="B109" s="110" t="s">
        <v>0</v>
      </c>
      <c r="C109" s="106" t="s">
        <v>1</v>
      </c>
      <c r="D109" s="116">
        <v>76142</v>
      </c>
      <c r="E109" s="116">
        <v>79722</v>
      </c>
      <c r="F109" s="116">
        <v>83468</v>
      </c>
      <c r="G109" s="116">
        <v>87392</v>
      </c>
      <c r="H109" s="116">
        <v>91500</v>
      </c>
      <c r="I109" s="116">
        <v>95799</v>
      </c>
      <c r="J109" s="116">
        <v>100302</v>
      </c>
      <c r="K109" s="116">
        <v>105015</v>
      </c>
      <c r="L109" s="71" t="str">
        <f>""</f>
        <v/>
      </c>
      <c r="M109" s="71" t="str">
        <f>""</f>
        <v/>
      </c>
      <c r="N109" s="71" t="str">
        <f>""</f>
        <v/>
      </c>
      <c r="O109" s="229"/>
      <c r="P109" s="116"/>
      <c r="Q109" s="116"/>
      <c r="R109" s="116"/>
      <c r="S109" s="116"/>
      <c r="T109" s="116"/>
      <c r="U109" s="116"/>
      <c r="V109" s="116"/>
      <c r="W109" s="116"/>
      <c r="X109" s="116"/>
      <c r="Y109" s="116"/>
      <c r="Z109" s="116"/>
      <c r="AA109" s="116"/>
      <c r="AB109" s="306"/>
      <c r="AC109" s="306"/>
      <c r="AD109" s="306"/>
      <c r="AE109" s="306"/>
      <c r="AF109" s="306"/>
    </row>
    <row r="110" spans="1:32" x14ac:dyDescent="0.25">
      <c r="A110" s="71"/>
      <c r="B110" s="110"/>
      <c r="C110" s="106" t="s">
        <v>23</v>
      </c>
      <c r="D110" s="111">
        <f>SUM(((D109*2%)+D109),((D109*2%)+D109)*0.8%)</f>
        <v>78286.158719999992</v>
      </c>
      <c r="E110" s="111">
        <f t="shared" ref="E110:K110" si="5">SUM(((E109*2%)+E109),((E109*2%)+E109)*0.8%)</f>
        <v>81966.971520000006</v>
      </c>
      <c r="F110" s="111">
        <f t="shared" si="5"/>
        <v>85818.458880000006</v>
      </c>
      <c r="G110" s="111">
        <f t="shared" si="5"/>
        <v>89852.958719999995</v>
      </c>
      <c r="H110" s="111">
        <f t="shared" si="5"/>
        <v>94076.64</v>
      </c>
      <c r="I110" s="111">
        <f t="shared" si="5"/>
        <v>98496.699840000001</v>
      </c>
      <c r="J110" s="111">
        <f t="shared" si="5"/>
        <v>103126.50431999999</v>
      </c>
      <c r="K110" s="111">
        <f t="shared" si="5"/>
        <v>107972.2224</v>
      </c>
      <c r="L110" s="71" t="str">
        <f>""</f>
        <v/>
      </c>
      <c r="M110" s="71" t="str">
        <f>""</f>
        <v/>
      </c>
      <c r="N110" s="71" t="str">
        <f>""</f>
        <v/>
      </c>
      <c r="O110" s="230"/>
      <c r="P110" s="116"/>
      <c r="Q110" s="116"/>
      <c r="R110" s="116"/>
      <c r="S110" s="116"/>
      <c r="T110" s="116"/>
      <c r="U110" s="116"/>
      <c r="V110" s="116"/>
      <c r="W110" s="116"/>
      <c r="X110" s="116"/>
      <c r="Y110" s="116"/>
      <c r="Z110" s="116"/>
      <c r="AA110" s="116"/>
      <c r="AB110" s="306"/>
      <c r="AC110" s="306"/>
      <c r="AD110" s="306"/>
      <c r="AE110" s="306"/>
      <c r="AF110" s="306"/>
    </row>
    <row r="111" spans="1:32" x14ac:dyDescent="0.25">
      <c r="A111" s="71"/>
      <c r="B111" s="110"/>
      <c r="C111" s="106" t="s">
        <v>24</v>
      </c>
      <c r="D111" s="111">
        <f>SUM(((D110*2%)+D110),((D110*2%)+D110)*0.2%)</f>
        <v>80011.585658188793</v>
      </c>
      <c r="E111" s="111">
        <f t="shared" ref="E111:K111" si="6">SUM(((E110*2%)+E110),((E110*2%)+E110)*0.2%)</f>
        <v>83773.523572300808</v>
      </c>
      <c r="F111" s="111">
        <f t="shared" si="6"/>
        <v>87709.897713715211</v>
      </c>
      <c r="G111" s="111">
        <f t="shared" si="6"/>
        <v>91833.317930188787</v>
      </c>
      <c r="H111" s="111">
        <f t="shared" si="6"/>
        <v>96150.089145599995</v>
      </c>
      <c r="I111" s="111">
        <f t="shared" si="6"/>
        <v>100667.56710447359</v>
      </c>
      <c r="J111" s="111">
        <f t="shared" si="6"/>
        <v>105399.4124752128</v>
      </c>
      <c r="K111" s="111">
        <f t="shared" si="6"/>
        <v>110351.93018169599</v>
      </c>
      <c r="L111" s="71" t="str">
        <f>""</f>
        <v/>
      </c>
      <c r="M111" s="71" t="str">
        <f>""</f>
        <v/>
      </c>
      <c r="N111" s="71" t="str">
        <f>""</f>
        <v/>
      </c>
      <c r="O111" s="230"/>
      <c r="P111" s="116"/>
      <c r="Q111" s="116"/>
      <c r="R111" s="116"/>
      <c r="S111" s="116"/>
      <c r="T111" s="116"/>
      <c r="U111" s="116"/>
      <c r="V111" s="116"/>
      <c r="W111" s="116"/>
      <c r="X111" s="116"/>
      <c r="Y111" s="116"/>
      <c r="Z111" s="116"/>
      <c r="AA111" s="116"/>
      <c r="AB111" s="306"/>
      <c r="AC111" s="306"/>
      <c r="AD111" s="306"/>
      <c r="AE111" s="306"/>
      <c r="AF111" s="306"/>
    </row>
    <row r="112" spans="1:32" x14ac:dyDescent="0.25">
      <c r="A112" s="71"/>
      <c r="B112" s="110"/>
      <c r="C112" s="106"/>
      <c r="D112" s="111"/>
      <c r="E112" s="111"/>
      <c r="F112" s="111"/>
      <c r="G112" s="111"/>
      <c r="H112" s="111"/>
      <c r="I112" s="111"/>
      <c r="J112" s="111"/>
      <c r="K112" s="111"/>
      <c r="L112" s="71" t="str">
        <f>""</f>
        <v/>
      </c>
      <c r="M112" s="71" t="str">
        <f>""</f>
        <v/>
      </c>
      <c r="N112" s="71" t="str">
        <f>""</f>
        <v/>
      </c>
      <c r="O112" s="230"/>
      <c r="P112" s="116"/>
      <c r="Q112" s="116"/>
      <c r="R112" s="116"/>
      <c r="S112" s="116"/>
      <c r="T112" s="116"/>
      <c r="U112" s="116"/>
      <c r="V112" s="116"/>
      <c r="W112" s="116"/>
      <c r="X112" s="116"/>
      <c r="Y112" s="116"/>
      <c r="Z112" s="116"/>
      <c r="AA112" s="116"/>
      <c r="AB112" s="306"/>
      <c r="AC112" s="306"/>
      <c r="AD112" s="306"/>
      <c r="AE112" s="306"/>
      <c r="AF112" s="306"/>
    </row>
    <row r="113" spans="1:32" x14ac:dyDescent="0.25">
      <c r="A113" s="71"/>
      <c r="B113" s="110"/>
      <c r="C113" s="106" t="s">
        <v>26</v>
      </c>
      <c r="D113" s="111">
        <f>SUM(((D111*1.5%)+D111))</f>
        <v>81211.75944306163</v>
      </c>
      <c r="E113" s="111">
        <f t="shared" ref="E113:K113" si="7">SUM(((E111*1.5%)+E111))</f>
        <v>85030.126425885319</v>
      </c>
      <c r="F113" s="111">
        <f t="shared" si="7"/>
        <v>89025.54617942094</v>
      </c>
      <c r="G113" s="111">
        <f t="shared" si="7"/>
        <v>93210.817699141626</v>
      </c>
      <c r="H113" s="111">
        <f t="shared" si="7"/>
        <v>97592.340482783999</v>
      </c>
      <c r="I113" s="111">
        <f t="shared" si="7"/>
        <v>102177.5806110407</v>
      </c>
      <c r="J113" s="111">
        <f t="shared" si="7"/>
        <v>106980.40366234099</v>
      </c>
      <c r="K113" s="111">
        <f t="shared" si="7"/>
        <v>112007.20913442143</v>
      </c>
      <c r="L113" s="71" t="str">
        <f>""</f>
        <v/>
      </c>
      <c r="M113" s="71" t="str">
        <f>""</f>
        <v/>
      </c>
      <c r="N113" s="71" t="str">
        <f>""</f>
        <v/>
      </c>
      <c r="O113" s="230"/>
      <c r="P113" s="116"/>
      <c r="Q113" s="116"/>
      <c r="R113" s="116"/>
      <c r="S113" s="116"/>
      <c r="T113" s="116"/>
      <c r="U113" s="116"/>
      <c r="V113" s="116"/>
      <c r="W113" s="116"/>
      <c r="X113" s="116"/>
      <c r="Y113" s="116"/>
      <c r="Z113" s="116"/>
      <c r="AA113" s="116"/>
      <c r="AB113" s="306"/>
      <c r="AC113" s="306"/>
      <c r="AD113" s="306"/>
      <c r="AE113" s="306"/>
      <c r="AF113" s="306"/>
    </row>
    <row r="114" spans="1:32" x14ac:dyDescent="0.25">
      <c r="A114" s="71"/>
      <c r="B114" s="110"/>
      <c r="C114" s="106" t="s">
        <v>27</v>
      </c>
      <c r="D114" s="111">
        <f>SUM(((D113*1.5%)+D113))</f>
        <v>82429.935834707561</v>
      </c>
      <c r="E114" s="111">
        <f t="shared" ref="E114:K114" si="8">SUM(((E113*1.5%)+E113))</f>
        <v>86305.578322273592</v>
      </c>
      <c r="F114" s="111">
        <f t="shared" si="8"/>
        <v>90360.929372112252</v>
      </c>
      <c r="G114" s="111">
        <f t="shared" si="8"/>
        <v>94608.979964628757</v>
      </c>
      <c r="H114" s="111">
        <f t="shared" si="8"/>
        <v>99056.225590025759</v>
      </c>
      <c r="I114" s="111">
        <f t="shared" si="8"/>
        <v>103710.24432020632</v>
      </c>
      <c r="J114" s="111">
        <f t="shared" si="8"/>
        <v>108585.10971727611</v>
      </c>
      <c r="K114" s="111">
        <f t="shared" si="8"/>
        <v>113687.31727143774</v>
      </c>
      <c r="L114" s="71" t="str">
        <f>""</f>
        <v/>
      </c>
      <c r="M114" s="71" t="str">
        <f>""</f>
        <v/>
      </c>
      <c r="N114" s="71" t="str">
        <f>""</f>
        <v/>
      </c>
      <c r="O114" s="230"/>
      <c r="P114" s="116"/>
      <c r="Q114" s="116"/>
      <c r="R114" s="116"/>
      <c r="S114" s="116"/>
      <c r="T114" s="116"/>
      <c r="U114" s="116"/>
      <c r="V114" s="116"/>
      <c r="W114" s="116"/>
      <c r="X114" s="116"/>
      <c r="Y114" s="116"/>
      <c r="Z114" s="116"/>
      <c r="AA114" s="116"/>
      <c r="AB114" s="306"/>
      <c r="AC114" s="306"/>
      <c r="AD114" s="306"/>
      <c r="AE114" s="306"/>
      <c r="AF114" s="306"/>
    </row>
    <row r="115" spans="1:32" x14ac:dyDescent="0.25">
      <c r="A115" s="71"/>
      <c r="B115" s="110"/>
      <c r="C115" s="116"/>
      <c r="D115" s="116"/>
      <c r="E115" s="116"/>
      <c r="F115" s="116"/>
      <c r="G115" s="116"/>
      <c r="H115" s="116"/>
      <c r="I115" s="116"/>
      <c r="J115" s="116"/>
      <c r="K115" s="116"/>
      <c r="L115" s="71"/>
      <c r="M115" s="71"/>
      <c r="N115" s="71"/>
      <c r="O115" s="230"/>
      <c r="P115" s="116"/>
      <c r="Q115" s="116"/>
      <c r="R115" s="116"/>
      <c r="S115" s="116"/>
      <c r="T115" s="116"/>
      <c r="U115" s="116"/>
      <c r="V115" s="116"/>
      <c r="W115" s="116"/>
      <c r="X115" s="116"/>
      <c r="Y115" s="116"/>
      <c r="Z115" s="116"/>
      <c r="AA115" s="116"/>
      <c r="AB115" s="306"/>
      <c r="AC115" s="306"/>
      <c r="AD115" s="306"/>
      <c r="AE115" s="306"/>
      <c r="AF115" s="306"/>
    </row>
    <row r="116" spans="1:32" x14ac:dyDescent="0.25">
      <c r="A116" s="71"/>
      <c r="B116" s="71"/>
      <c r="C116" s="71"/>
      <c r="D116" s="71"/>
      <c r="E116" s="71"/>
      <c r="F116" s="71"/>
      <c r="G116" s="71"/>
      <c r="H116" s="71"/>
      <c r="I116" s="71"/>
      <c r="J116" s="71"/>
      <c r="K116" s="71"/>
      <c r="L116" s="71"/>
      <c r="M116" s="71"/>
      <c r="N116" s="116"/>
      <c r="O116" s="116"/>
      <c r="P116" s="116"/>
      <c r="Q116" s="116"/>
      <c r="R116" s="116"/>
      <c r="S116" s="116"/>
      <c r="T116" s="116"/>
      <c r="U116" s="116"/>
      <c r="V116" s="116"/>
      <c r="W116" s="116"/>
      <c r="X116" s="116"/>
      <c r="Y116" s="116"/>
      <c r="Z116" s="116"/>
      <c r="AA116" s="116"/>
      <c r="AB116" s="306"/>
      <c r="AC116" s="306"/>
      <c r="AD116" s="306"/>
      <c r="AE116" s="306"/>
      <c r="AF116" s="306"/>
    </row>
    <row r="117" spans="1:32" x14ac:dyDescent="0.25">
      <c r="A117" s="71"/>
      <c r="B117" s="106" t="s">
        <v>85</v>
      </c>
      <c r="C117" s="107"/>
      <c r="D117" s="107"/>
      <c r="E117" s="107"/>
      <c r="F117" s="107"/>
      <c r="G117" s="107"/>
      <c r="H117" s="107"/>
      <c r="I117" s="107"/>
      <c r="J117" s="107"/>
      <c r="K117" s="107"/>
      <c r="L117" s="71"/>
      <c r="M117" s="108"/>
      <c r="N117" s="108"/>
      <c r="O117" s="108"/>
      <c r="P117" s="116"/>
      <c r="Q117" s="116"/>
      <c r="R117" s="116"/>
      <c r="S117" s="116"/>
      <c r="T117" s="116"/>
      <c r="U117" s="116"/>
      <c r="V117" s="116"/>
      <c r="W117" s="116"/>
      <c r="X117" s="116"/>
      <c r="Y117" s="116"/>
      <c r="Z117" s="116"/>
      <c r="AA117" s="116"/>
      <c r="AB117" s="306"/>
      <c r="AC117" s="306"/>
      <c r="AD117" s="306"/>
      <c r="AE117" s="306"/>
      <c r="AF117" s="306"/>
    </row>
    <row r="118" spans="1:32" x14ac:dyDescent="0.25">
      <c r="A118" s="71"/>
      <c r="B118" s="107"/>
      <c r="C118" s="107"/>
      <c r="D118" s="109">
        <v>1</v>
      </c>
      <c r="E118" s="109">
        <v>2</v>
      </c>
      <c r="F118" s="109">
        <v>3</v>
      </c>
      <c r="G118" s="109">
        <v>4</v>
      </c>
      <c r="H118" s="109">
        <v>5</v>
      </c>
      <c r="I118" s="109">
        <v>6</v>
      </c>
      <c r="J118" s="109">
        <v>7</v>
      </c>
      <c r="K118" s="109">
        <v>8</v>
      </c>
      <c r="L118" s="71"/>
      <c r="M118" s="112"/>
      <c r="N118" s="112"/>
      <c r="O118" s="228"/>
      <c r="P118" s="116"/>
      <c r="Q118" s="116"/>
      <c r="R118" s="116"/>
      <c r="S118" s="116"/>
      <c r="T118" s="116"/>
      <c r="U118" s="116"/>
      <c r="V118" s="116"/>
      <c r="W118" s="116"/>
      <c r="X118" s="116"/>
      <c r="Y118" s="116"/>
      <c r="Z118" s="116"/>
      <c r="AA118" s="116"/>
      <c r="AB118" s="306"/>
      <c r="AC118" s="306"/>
      <c r="AD118" s="306"/>
      <c r="AE118" s="306"/>
      <c r="AF118" s="306"/>
    </row>
    <row r="119" spans="1:32" x14ac:dyDescent="0.25">
      <c r="A119" s="71"/>
      <c r="B119" s="110" t="s">
        <v>0</v>
      </c>
      <c r="C119" s="106" t="s">
        <v>1</v>
      </c>
      <c r="D119" s="116">
        <v>76142</v>
      </c>
      <c r="E119" s="116">
        <v>79722</v>
      </c>
      <c r="F119" s="116">
        <v>83468</v>
      </c>
      <c r="G119" s="116">
        <v>87392</v>
      </c>
      <c r="H119" s="116">
        <v>91500</v>
      </c>
      <c r="I119" s="116">
        <v>95799</v>
      </c>
      <c r="J119" s="116">
        <v>100302</v>
      </c>
      <c r="K119" s="116">
        <v>105015</v>
      </c>
      <c r="L119" s="90"/>
      <c r="M119" s="113"/>
      <c r="N119" s="231"/>
      <c r="O119" s="232"/>
      <c r="P119" s="116"/>
      <c r="Q119" s="116"/>
      <c r="R119" s="116"/>
      <c r="S119" s="116"/>
      <c r="T119" s="116"/>
      <c r="U119" s="116"/>
      <c r="V119" s="116"/>
      <c r="W119" s="116"/>
      <c r="X119" s="116"/>
      <c r="Y119" s="116"/>
      <c r="Z119" s="116"/>
      <c r="AA119" s="116"/>
      <c r="AB119" s="306"/>
      <c r="AC119" s="306"/>
      <c r="AD119" s="306"/>
      <c r="AE119" s="306"/>
      <c r="AF119" s="306"/>
    </row>
    <row r="120" spans="1:32" x14ac:dyDescent="0.25">
      <c r="A120" s="71"/>
      <c r="B120" s="110"/>
      <c r="C120" s="106" t="s">
        <v>23</v>
      </c>
      <c r="D120" s="111">
        <f>SUM(((D119*2%)+D119),((D119*2%)+D119)*0.8%)</f>
        <v>78286.158719999992</v>
      </c>
      <c r="E120" s="111">
        <f t="shared" ref="E120:K120" si="9">SUM(((E119*2%)+E119),((E119*2%)+E119)*0.8%)</f>
        <v>81966.971520000006</v>
      </c>
      <c r="F120" s="111">
        <f t="shared" si="9"/>
        <v>85818.458880000006</v>
      </c>
      <c r="G120" s="111">
        <f t="shared" si="9"/>
        <v>89852.958719999995</v>
      </c>
      <c r="H120" s="111">
        <f t="shared" si="9"/>
        <v>94076.64</v>
      </c>
      <c r="I120" s="111">
        <f t="shared" si="9"/>
        <v>98496.699840000001</v>
      </c>
      <c r="J120" s="111">
        <f t="shared" si="9"/>
        <v>103126.50431999999</v>
      </c>
      <c r="K120" s="111">
        <f t="shared" si="9"/>
        <v>107972.2224</v>
      </c>
      <c r="L120" s="111"/>
      <c r="M120" s="111"/>
      <c r="N120" s="111"/>
      <c r="O120" s="230"/>
      <c r="P120" s="116"/>
      <c r="Q120" s="116"/>
      <c r="R120" s="116"/>
      <c r="S120" s="116"/>
      <c r="T120" s="116"/>
      <c r="U120" s="116"/>
      <c r="V120" s="116"/>
      <c r="W120" s="116"/>
      <c r="X120" s="116"/>
      <c r="Y120" s="116"/>
      <c r="Z120" s="116"/>
      <c r="AA120" s="116"/>
      <c r="AB120" s="306"/>
      <c r="AC120" s="306"/>
      <c r="AD120" s="306"/>
      <c r="AE120" s="306"/>
      <c r="AF120" s="306"/>
    </row>
    <row r="121" spans="1:32" x14ac:dyDescent="0.25">
      <c r="A121" s="71"/>
      <c r="B121" s="110"/>
      <c r="C121" s="106" t="s">
        <v>24</v>
      </c>
      <c r="D121" s="111">
        <f>SUM(((D120*2%)+D120),((D120*2%)+D120)*0.2%)</f>
        <v>80011.585658188793</v>
      </c>
      <c r="E121" s="111">
        <f t="shared" ref="E121:K121" si="10">SUM(((E120*2%)+E120),((E120*2%)+E120)*0.2%)</f>
        <v>83773.523572300808</v>
      </c>
      <c r="F121" s="111">
        <f t="shared" si="10"/>
        <v>87709.897713715211</v>
      </c>
      <c r="G121" s="111">
        <f t="shared" si="10"/>
        <v>91833.317930188787</v>
      </c>
      <c r="H121" s="111">
        <f t="shared" si="10"/>
        <v>96150.089145599995</v>
      </c>
      <c r="I121" s="111">
        <f t="shared" si="10"/>
        <v>100667.56710447359</v>
      </c>
      <c r="J121" s="111">
        <f t="shared" si="10"/>
        <v>105399.4124752128</v>
      </c>
      <c r="K121" s="111">
        <f t="shared" si="10"/>
        <v>110351.93018169599</v>
      </c>
      <c r="L121" s="111"/>
      <c r="M121" s="111"/>
      <c r="N121" s="111"/>
      <c r="O121" s="230"/>
      <c r="P121" s="116"/>
      <c r="Q121" s="116"/>
      <c r="R121" s="116"/>
      <c r="S121" s="116"/>
      <c r="T121" s="116"/>
      <c r="U121" s="116"/>
      <c r="V121" s="116"/>
      <c r="W121" s="116"/>
      <c r="X121" s="116"/>
      <c r="Y121" s="116"/>
      <c r="Z121" s="116"/>
      <c r="AA121" s="116"/>
      <c r="AB121" s="306"/>
      <c r="AC121" s="306"/>
      <c r="AD121" s="306"/>
      <c r="AE121" s="306"/>
      <c r="AF121" s="306"/>
    </row>
    <row r="122" spans="1:32" x14ac:dyDescent="0.25">
      <c r="A122" s="71"/>
      <c r="B122" s="110"/>
      <c r="C122" s="106"/>
      <c r="D122" s="111"/>
      <c r="E122" s="111"/>
      <c r="F122" s="111"/>
      <c r="G122" s="111"/>
      <c r="H122" s="111"/>
      <c r="I122" s="111"/>
      <c r="J122" s="111"/>
      <c r="K122" s="111"/>
      <c r="L122" s="111"/>
      <c r="M122" s="111"/>
      <c r="N122" s="111"/>
      <c r="O122" s="230"/>
      <c r="P122" s="116"/>
      <c r="Q122" s="116"/>
      <c r="R122" s="116"/>
      <c r="S122" s="116"/>
      <c r="T122" s="116"/>
      <c r="U122" s="116"/>
      <c r="V122" s="116"/>
      <c r="W122" s="116"/>
      <c r="X122" s="116"/>
      <c r="Y122" s="116"/>
      <c r="Z122" s="116"/>
      <c r="AA122" s="116"/>
      <c r="AB122" s="306"/>
      <c r="AC122" s="306"/>
      <c r="AD122" s="306"/>
      <c r="AE122" s="306"/>
      <c r="AF122" s="306"/>
    </row>
    <row r="123" spans="1:32" x14ac:dyDescent="0.25">
      <c r="A123" s="71"/>
      <c r="B123" s="110"/>
      <c r="C123" s="106" t="s">
        <v>26</v>
      </c>
      <c r="D123" s="111">
        <f>SUM(((D121*1.5%)+D121))</f>
        <v>81211.75944306163</v>
      </c>
      <c r="E123" s="111">
        <f t="shared" ref="E123:K123" si="11">SUM(((E121*1.5%)+E121))</f>
        <v>85030.126425885319</v>
      </c>
      <c r="F123" s="111">
        <f t="shared" si="11"/>
        <v>89025.54617942094</v>
      </c>
      <c r="G123" s="111">
        <f t="shared" si="11"/>
        <v>93210.817699141626</v>
      </c>
      <c r="H123" s="111">
        <f t="shared" si="11"/>
        <v>97592.340482783999</v>
      </c>
      <c r="I123" s="111">
        <f t="shared" si="11"/>
        <v>102177.5806110407</v>
      </c>
      <c r="J123" s="111">
        <f t="shared" si="11"/>
        <v>106980.40366234099</v>
      </c>
      <c r="K123" s="111">
        <f t="shared" si="11"/>
        <v>112007.20913442143</v>
      </c>
      <c r="L123" s="111"/>
      <c r="M123" s="111"/>
      <c r="N123" s="111"/>
      <c r="O123" s="230"/>
      <c r="P123" s="116"/>
      <c r="Q123" s="116"/>
      <c r="R123" s="116"/>
      <c r="S123" s="116"/>
      <c r="T123" s="116"/>
      <c r="U123" s="116"/>
      <c r="V123" s="116"/>
      <c r="W123" s="116"/>
      <c r="X123" s="116"/>
      <c r="Y123" s="116"/>
      <c r="Z123" s="116"/>
      <c r="AA123" s="116"/>
      <c r="AB123" s="306"/>
      <c r="AC123" s="306"/>
      <c r="AD123" s="306"/>
      <c r="AE123" s="306"/>
      <c r="AF123" s="306"/>
    </row>
    <row r="124" spans="1:32" x14ac:dyDescent="0.25">
      <c r="A124" s="71"/>
      <c r="B124" s="110"/>
      <c r="C124" s="106" t="s">
        <v>27</v>
      </c>
      <c r="D124" s="111">
        <f>SUM(((D123*1.5%)+D123))</f>
        <v>82429.935834707561</v>
      </c>
      <c r="E124" s="111">
        <f t="shared" ref="E124:K124" si="12">SUM(((E123*1.5%)+E123))</f>
        <v>86305.578322273592</v>
      </c>
      <c r="F124" s="111">
        <f t="shared" si="12"/>
        <v>90360.929372112252</v>
      </c>
      <c r="G124" s="111">
        <f t="shared" si="12"/>
        <v>94608.979964628757</v>
      </c>
      <c r="H124" s="111">
        <f t="shared" si="12"/>
        <v>99056.225590025759</v>
      </c>
      <c r="I124" s="111">
        <f t="shared" si="12"/>
        <v>103710.24432020632</v>
      </c>
      <c r="J124" s="111">
        <f t="shared" si="12"/>
        <v>108585.10971727611</v>
      </c>
      <c r="K124" s="111">
        <f t="shared" si="12"/>
        <v>113687.31727143774</v>
      </c>
      <c r="L124" s="111"/>
      <c r="M124" s="111"/>
      <c r="N124" s="111"/>
      <c r="O124" s="230"/>
      <c r="P124" s="116"/>
      <c r="Q124" s="116"/>
      <c r="R124" s="116"/>
      <c r="S124" s="116"/>
      <c r="T124" s="116"/>
      <c r="U124" s="116"/>
      <c r="V124" s="116"/>
      <c r="W124" s="116"/>
      <c r="X124" s="116"/>
      <c r="Y124" s="116"/>
      <c r="Z124" s="116"/>
      <c r="AA124" s="116"/>
      <c r="AB124" s="306"/>
      <c r="AC124" s="306"/>
      <c r="AD124" s="306"/>
      <c r="AE124" s="306"/>
      <c r="AF124" s="306"/>
    </row>
    <row r="125" spans="1:32" x14ac:dyDescent="0.25">
      <c r="A125" s="71"/>
      <c r="B125" s="71"/>
      <c r="C125" s="114"/>
      <c r="D125" s="90"/>
      <c r="E125" s="90"/>
      <c r="F125" s="90"/>
      <c r="G125" s="90"/>
      <c r="H125" s="90"/>
      <c r="I125" s="90"/>
      <c r="J125" s="90"/>
      <c r="K125" s="90"/>
      <c r="L125" s="90"/>
      <c r="M125" s="90"/>
      <c r="N125" s="155"/>
      <c r="O125" s="116"/>
      <c r="P125" s="116"/>
      <c r="Q125" s="116"/>
      <c r="R125" s="116"/>
      <c r="S125" s="116"/>
      <c r="T125" s="116"/>
      <c r="U125" s="116"/>
      <c r="V125" s="116"/>
      <c r="W125" s="116"/>
      <c r="X125" s="116"/>
      <c r="Y125" s="116"/>
      <c r="Z125" s="116"/>
      <c r="AA125" s="116"/>
      <c r="AB125" s="306"/>
      <c r="AC125" s="306"/>
      <c r="AD125" s="306"/>
      <c r="AE125" s="306"/>
      <c r="AF125" s="306"/>
    </row>
    <row r="126" spans="1:32" ht="21" x14ac:dyDescent="0.35">
      <c r="A126" s="63" t="s">
        <v>74</v>
      </c>
      <c r="B126" s="71"/>
      <c r="C126" s="71"/>
      <c r="D126" s="71"/>
      <c r="E126" s="71"/>
      <c r="F126" s="71"/>
      <c r="G126" s="71"/>
      <c r="H126" s="71"/>
      <c r="I126" s="71"/>
      <c r="J126" s="71"/>
      <c r="K126" s="71"/>
      <c r="L126" s="71"/>
      <c r="M126" s="71"/>
      <c r="N126" s="116"/>
      <c r="O126" s="116"/>
      <c r="P126" s="116"/>
      <c r="Q126" s="116"/>
      <c r="R126" s="116"/>
      <c r="S126" s="116"/>
      <c r="T126" s="116"/>
      <c r="U126" s="116"/>
      <c r="V126" s="116"/>
      <c r="W126" s="116"/>
      <c r="X126" s="116"/>
      <c r="Y126" s="116"/>
      <c r="Z126" s="116"/>
      <c r="AA126" s="116"/>
      <c r="AB126" s="306"/>
      <c r="AC126" s="306"/>
      <c r="AD126" s="306"/>
      <c r="AE126" s="306"/>
      <c r="AF126" s="306"/>
    </row>
    <row r="127" spans="1:32" x14ac:dyDescent="0.25">
      <c r="A127" s="116"/>
      <c r="B127" s="71"/>
      <c r="C127" s="71"/>
      <c r="D127" s="109">
        <v>1</v>
      </c>
      <c r="E127" s="109">
        <v>2</v>
      </c>
      <c r="F127" s="109">
        <v>3</v>
      </c>
      <c r="G127" s="109">
        <v>4</v>
      </c>
      <c r="H127" s="109">
        <v>5</v>
      </c>
      <c r="I127" s="109">
        <v>6</v>
      </c>
      <c r="J127" s="109">
        <v>7</v>
      </c>
      <c r="K127" s="109">
        <v>8</v>
      </c>
      <c r="L127" s="71"/>
      <c r="M127" s="71"/>
      <c r="N127" s="71"/>
      <c r="O127" s="116"/>
      <c r="P127" s="116"/>
      <c r="Q127" s="116"/>
      <c r="R127" s="116"/>
      <c r="S127" s="116"/>
      <c r="T127" s="116"/>
      <c r="U127" s="116"/>
      <c r="V127" s="116"/>
      <c r="W127" s="116"/>
      <c r="X127" s="116"/>
      <c r="Y127" s="116"/>
      <c r="Z127" s="116"/>
      <c r="AA127" s="116"/>
      <c r="AB127" s="306"/>
      <c r="AC127" s="306"/>
      <c r="AD127" s="306"/>
      <c r="AE127" s="306"/>
      <c r="AF127" s="306"/>
    </row>
    <row r="128" spans="1:32" x14ac:dyDescent="0.25">
      <c r="A128" s="71"/>
      <c r="B128" s="71"/>
      <c r="C128" s="106" t="s">
        <v>1</v>
      </c>
      <c r="D128" s="115">
        <f t="shared" ref="D128:K133" si="13">IF($I$4="Select",0,IF($I$4=$B$107,D109,IF($I$4=$B$117,D119)))</f>
        <v>0</v>
      </c>
      <c r="E128" s="115">
        <f t="shared" si="13"/>
        <v>0</v>
      </c>
      <c r="F128" s="115">
        <f t="shared" si="13"/>
        <v>0</v>
      </c>
      <c r="G128" s="115">
        <f t="shared" si="13"/>
        <v>0</v>
      </c>
      <c r="H128" s="115">
        <f t="shared" si="13"/>
        <v>0</v>
      </c>
      <c r="I128" s="115">
        <f t="shared" si="13"/>
        <v>0</v>
      </c>
      <c r="J128" s="115">
        <f t="shared" si="13"/>
        <v>0</v>
      </c>
      <c r="K128" s="115">
        <f t="shared" si="13"/>
        <v>0</v>
      </c>
      <c r="L128" s="90"/>
      <c r="M128" s="90"/>
      <c r="N128" s="90"/>
      <c r="O128" s="116"/>
      <c r="P128" s="116"/>
      <c r="Q128" s="116"/>
      <c r="R128" s="116"/>
      <c r="S128" s="116"/>
      <c r="T128" s="116"/>
      <c r="U128" s="116"/>
      <c r="V128" s="116"/>
      <c r="W128" s="116"/>
      <c r="X128" s="116"/>
      <c r="Y128" s="116"/>
      <c r="Z128" s="116"/>
      <c r="AA128" s="116"/>
      <c r="AB128" s="306"/>
      <c r="AC128" s="306"/>
      <c r="AD128" s="306"/>
      <c r="AE128" s="306"/>
      <c r="AF128" s="306"/>
    </row>
    <row r="129" spans="1:32" x14ac:dyDescent="0.25">
      <c r="A129" s="71"/>
      <c r="B129" s="71"/>
      <c r="C129" s="106" t="s">
        <v>23</v>
      </c>
      <c r="D129" s="115">
        <f t="shared" si="13"/>
        <v>0</v>
      </c>
      <c r="E129" s="115">
        <f t="shared" si="13"/>
        <v>0</v>
      </c>
      <c r="F129" s="115">
        <f t="shared" si="13"/>
        <v>0</v>
      </c>
      <c r="G129" s="115">
        <f t="shared" si="13"/>
        <v>0</v>
      </c>
      <c r="H129" s="115">
        <f t="shared" si="13"/>
        <v>0</v>
      </c>
      <c r="I129" s="115">
        <f t="shared" si="13"/>
        <v>0</v>
      </c>
      <c r="J129" s="115">
        <f t="shared" si="13"/>
        <v>0</v>
      </c>
      <c r="K129" s="115">
        <f t="shared" si="13"/>
        <v>0</v>
      </c>
      <c r="L129" s="90"/>
      <c r="M129" s="90"/>
      <c r="N129" s="90"/>
      <c r="O129" s="116"/>
      <c r="P129" s="116"/>
      <c r="Q129" s="116"/>
      <c r="R129" s="116"/>
      <c r="S129" s="116"/>
      <c r="T129" s="116"/>
      <c r="U129" s="116"/>
      <c r="V129" s="116"/>
      <c r="W129" s="116"/>
      <c r="X129" s="116"/>
      <c r="Y129" s="116"/>
      <c r="Z129" s="116"/>
      <c r="AA129" s="116"/>
      <c r="AB129" s="306"/>
      <c r="AC129" s="306"/>
      <c r="AD129" s="306"/>
      <c r="AE129" s="306"/>
      <c r="AF129" s="306"/>
    </row>
    <row r="130" spans="1:32" x14ac:dyDescent="0.25">
      <c r="A130" s="71"/>
      <c r="B130" s="71"/>
      <c r="C130" s="106" t="s">
        <v>24</v>
      </c>
      <c r="D130" s="115">
        <f t="shared" si="13"/>
        <v>0</v>
      </c>
      <c r="E130" s="115">
        <f t="shared" si="13"/>
        <v>0</v>
      </c>
      <c r="F130" s="115">
        <f t="shared" si="13"/>
        <v>0</v>
      </c>
      <c r="G130" s="115">
        <f t="shared" si="13"/>
        <v>0</v>
      </c>
      <c r="H130" s="115">
        <f t="shared" si="13"/>
        <v>0</v>
      </c>
      <c r="I130" s="115">
        <f t="shared" si="13"/>
        <v>0</v>
      </c>
      <c r="J130" s="115">
        <f t="shared" si="13"/>
        <v>0</v>
      </c>
      <c r="K130" s="115">
        <f t="shared" si="13"/>
        <v>0</v>
      </c>
      <c r="L130" s="90"/>
      <c r="M130" s="90"/>
      <c r="N130" s="90"/>
      <c r="O130" s="116"/>
      <c r="P130" s="116"/>
      <c r="Q130" s="116"/>
      <c r="R130" s="116"/>
      <c r="S130" s="116"/>
      <c r="T130" s="116"/>
      <c r="U130" s="116"/>
      <c r="V130" s="116"/>
      <c r="W130" s="116"/>
      <c r="X130" s="116"/>
      <c r="Y130" s="116"/>
      <c r="Z130" s="116"/>
      <c r="AA130" s="116"/>
      <c r="AB130" s="306"/>
      <c r="AC130" s="306"/>
      <c r="AD130" s="306"/>
      <c r="AE130" s="306"/>
      <c r="AF130" s="306"/>
    </row>
    <row r="131" spans="1:32" x14ac:dyDescent="0.25">
      <c r="A131" s="71"/>
      <c r="B131" s="71"/>
      <c r="C131" s="106" t="s">
        <v>25</v>
      </c>
      <c r="D131" s="115">
        <f t="shared" si="13"/>
        <v>0</v>
      </c>
      <c r="E131" s="115">
        <f t="shared" si="13"/>
        <v>0</v>
      </c>
      <c r="F131" s="115">
        <f t="shared" si="13"/>
        <v>0</v>
      </c>
      <c r="G131" s="115">
        <f t="shared" si="13"/>
        <v>0</v>
      </c>
      <c r="H131" s="115">
        <f t="shared" si="13"/>
        <v>0</v>
      </c>
      <c r="I131" s="115">
        <f t="shared" si="13"/>
        <v>0</v>
      </c>
      <c r="J131" s="115">
        <f t="shared" si="13"/>
        <v>0</v>
      </c>
      <c r="K131" s="115">
        <f t="shared" si="13"/>
        <v>0</v>
      </c>
      <c r="L131" s="90"/>
      <c r="M131" s="90"/>
      <c r="N131" s="90"/>
      <c r="O131" s="116"/>
      <c r="P131" s="116"/>
      <c r="Q131" s="116"/>
      <c r="R131" s="116"/>
      <c r="S131" s="116"/>
      <c r="T131" s="116"/>
      <c r="U131" s="116"/>
      <c r="V131" s="116"/>
      <c r="W131" s="116"/>
      <c r="X131" s="116"/>
      <c r="Y131" s="116"/>
      <c r="Z131" s="116"/>
      <c r="AA131" s="116"/>
      <c r="AB131" s="306"/>
      <c r="AC131" s="306"/>
      <c r="AD131" s="306"/>
      <c r="AE131" s="306"/>
      <c r="AF131" s="306"/>
    </row>
    <row r="132" spans="1:32" x14ac:dyDescent="0.25">
      <c r="A132" s="71"/>
      <c r="B132" s="71"/>
      <c r="C132" s="106" t="s">
        <v>26</v>
      </c>
      <c r="D132" s="115">
        <f t="shared" si="13"/>
        <v>0</v>
      </c>
      <c r="E132" s="115">
        <f t="shared" si="13"/>
        <v>0</v>
      </c>
      <c r="F132" s="115">
        <f t="shared" si="13"/>
        <v>0</v>
      </c>
      <c r="G132" s="115">
        <f t="shared" si="13"/>
        <v>0</v>
      </c>
      <c r="H132" s="115">
        <f t="shared" si="13"/>
        <v>0</v>
      </c>
      <c r="I132" s="115">
        <f t="shared" si="13"/>
        <v>0</v>
      </c>
      <c r="J132" s="115">
        <f t="shared" si="13"/>
        <v>0</v>
      </c>
      <c r="K132" s="115">
        <f t="shared" si="13"/>
        <v>0</v>
      </c>
      <c r="L132" s="90"/>
      <c r="M132" s="90"/>
      <c r="N132" s="90"/>
      <c r="O132" s="116"/>
      <c r="P132" s="116"/>
      <c r="Q132" s="116"/>
      <c r="R132" s="116"/>
      <c r="S132" s="116"/>
      <c r="T132" s="116"/>
      <c r="U132" s="116"/>
      <c r="V132" s="116"/>
      <c r="W132" s="116"/>
      <c r="X132" s="116"/>
      <c r="Y132" s="116"/>
      <c r="Z132" s="116"/>
      <c r="AA132" s="116"/>
      <c r="AB132" s="306"/>
      <c r="AC132" s="306"/>
      <c r="AD132" s="306"/>
      <c r="AE132" s="306"/>
      <c r="AF132" s="306"/>
    </row>
    <row r="133" spans="1:32" x14ac:dyDescent="0.25">
      <c r="A133" s="116"/>
      <c r="B133" s="116"/>
      <c r="C133" s="106" t="s">
        <v>27</v>
      </c>
      <c r="D133" s="115">
        <f t="shared" si="13"/>
        <v>0</v>
      </c>
      <c r="E133" s="115">
        <f t="shared" si="13"/>
        <v>0</v>
      </c>
      <c r="F133" s="115">
        <f t="shared" si="13"/>
        <v>0</v>
      </c>
      <c r="G133" s="115">
        <f t="shared" si="13"/>
        <v>0</v>
      </c>
      <c r="H133" s="115">
        <f t="shared" si="13"/>
        <v>0</v>
      </c>
      <c r="I133" s="115">
        <f t="shared" si="13"/>
        <v>0</v>
      </c>
      <c r="J133" s="115">
        <f t="shared" si="13"/>
        <v>0</v>
      </c>
      <c r="K133" s="115">
        <f t="shared" si="13"/>
        <v>0</v>
      </c>
      <c r="L133" s="90"/>
      <c r="M133" s="90"/>
      <c r="N133" s="90"/>
      <c r="O133" s="116"/>
      <c r="P133" s="116"/>
      <c r="Q133" s="116"/>
      <c r="R133" s="116"/>
      <c r="S133" s="116"/>
      <c r="T133" s="116"/>
      <c r="U133" s="116"/>
      <c r="V133" s="116"/>
      <c r="W133" s="116"/>
      <c r="X133" s="116"/>
      <c r="Y133" s="116"/>
      <c r="Z133" s="116"/>
      <c r="AA133" s="116"/>
      <c r="AB133" s="306"/>
      <c r="AC133" s="306"/>
      <c r="AD133" s="306"/>
      <c r="AE133" s="306"/>
      <c r="AF133" s="306"/>
    </row>
    <row r="134" spans="1:32" x14ac:dyDescent="0.25">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306"/>
      <c r="AC134" s="306"/>
      <c r="AD134" s="306"/>
      <c r="AE134" s="306"/>
      <c r="AF134" s="306"/>
    </row>
    <row r="135" spans="1:32" x14ac:dyDescent="0.25">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306"/>
      <c r="AC135" s="306"/>
      <c r="AD135" s="306"/>
      <c r="AE135" s="306"/>
      <c r="AF135" s="306"/>
    </row>
    <row r="136" spans="1:32" ht="21" x14ac:dyDescent="0.35">
      <c r="A136" s="63" t="s">
        <v>73</v>
      </c>
      <c r="B136" s="71"/>
      <c r="C136" s="71"/>
      <c r="D136" s="71"/>
      <c r="E136" s="71"/>
      <c r="F136" s="71"/>
      <c r="G136" s="71"/>
      <c r="H136" s="71"/>
      <c r="I136" s="71"/>
      <c r="J136" s="71"/>
      <c r="K136" s="71"/>
      <c r="L136" s="71"/>
      <c r="M136" s="71"/>
      <c r="N136" s="116"/>
      <c r="O136" s="116"/>
      <c r="P136" s="116"/>
      <c r="Q136" s="116"/>
      <c r="R136" s="116"/>
      <c r="S136" s="116"/>
      <c r="T136" s="116"/>
      <c r="U136" s="116"/>
      <c r="V136" s="116"/>
      <c r="W136" s="116"/>
      <c r="X136" s="116"/>
      <c r="Y136" s="116"/>
      <c r="Z136" s="116"/>
      <c r="AA136" s="116"/>
      <c r="AB136" s="306"/>
      <c r="AC136" s="306"/>
      <c r="AD136" s="306"/>
      <c r="AE136" s="306"/>
      <c r="AF136" s="306"/>
    </row>
    <row r="137" spans="1:32" ht="21" x14ac:dyDescent="0.35">
      <c r="A137" s="63" t="s">
        <v>118</v>
      </c>
      <c r="B137" s="71"/>
      <c r="C137" s="71"/>
      <c r="D137" s="71"/>
      <c r="E137" s="71"/>
      <c r="F137" s="71"/>
      <c r="G137" s="71"/>
      <c r="H137" s="71"/>
      <c r="I137" s="71"/>
      <c r="J137" s="71"/>
      <c r="K137" s="71"/>
      <c r="L137" s="71"/>
      <c r="M137" s="71"/>
      <c r="N137" s="116"/>
      <c r="O137" s="116"/>
      <c r="P137" s="116"/>
      <c r="Q137" s="116"/>
      <c r="R137" s="116"/>
      <c r="S137" s="116"/>
      <c r="T137" s="116"/>
      <c r="U137" s="116"/>
      <c r="V137" s="116"/>
      <c r="W137" s="116"/>
      <c r="X137" s="116"/>
      <c r="Y137" s="116"/>
      <c r="Z137" s="116"/>
      <c r="AA137" s="116"/>
      <c r="AB137" s="306"/>
      <c r="AC137" s="306"/>
      <c r="AD137" s="306"/>
      <c r="AE137" s="306"/>
      <c r="AF137" s="306"/>
    </row>
    <row r="138" spans="1:32" x14ac:dyDescent="0.25">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306"/>
      <c r="AC138" s="306"/>
      <c r="AD138" s="306"/>
      <c r="AE138" s="306"/>
      <c r="AF138" s="306"/>
    </row>
    <row r="139" spans="1:32" x14ac:dyDescent="0.25">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306"/>
      <c r="AC139" s="306"/>
      <c r="AD139" s="306"/>
      <c r="AE139" s="306"/>
      <c r="AF139" s="306"/>
    </row>
    <row r="140" spans="1:32" ht="28.5" x14ac:dyDescent="0.45">
      <c r="A140" s="67" t="s">
        <v>11</v>
      </c>
      <c r="B140" s="334">
        <v>43230</v>
      </c>
      <c r="C140" s="334"/>
      <c r="D140" s="335" t="s">
        <v>12</v>
      </c>
      <c r="E140" s="335"/>
      <c r="F140" s="335"/>
      <c r="G140" s="335"/>
      <c r="H140" s="336" t="e">
        <f>SUM(((J11*2%)+J11),((J11*2%)+J11)*0.8%)</f>
        <v>#VALUE!</v>
      </c>
      <c r="I140" s="336"/>
      <c r="J140" s="337"/>
      <c r="K140" s="337"/>
      <c r="L140" s="337"/>
      <c r="M140" s="337"/>
      <c r="N140" s="116"/>
      <c r="O140" s="116"/>
      <c r="P140" s="116"/>
      <c r="Q140" s="116"/>
      <c r="R140" s="116"/>
      <c r="S140" s="116"/>
      <c r="T140" s="116"/>
      <c r="U140" s="116"/>
      <c r="V140" s="116"/>
      <c r="W140" s="116"/>
      <c r="X140" s="116"/>
      <c r="Y140" s="116"/>
      <c r="Z140" s="116"/>
      <c r="AA140" s="116"/>
      <c r="AB140" s="306"/>
      <c r="AC140" s="306"/>
      <c r="AD140" s="306"/>
      <c r="AE140" s="306"/>
      <c r="AF140" s="306"/>
    </row>
    <row r="141" spans="1:32" ht="15.75" x14ac:dyDescent="0.25">
      <c r="A141" s="68" t="s">
        <v>91</v>
      </c>
      <c r="B141" s="116"/>
      <c r="C141" s="69" t="e">
        <f>EDATE(C142,-6)</f>
        <v>#NUM!</v>
      </c>
      <c r="D141" s="116"/>
      <c r="E141" s="69"/>
      <c r="F141" s="365" t="e">
        <f>IF(LARGE(LP01_A,1)=H140,"Top of pay scale reached. ","Move up a lockstep step")</f>
        <v>#VALUE!</v>
      </c>
      <c r="G141" s="365"/>
      <c r="H141" s="336" t="e">
        <f>IF(COUNTIF(LP01_A,"&gt;"&amp;H54)&gt;=1,LARGE(LP01_A,COUNTIF(LP01_A,"&gt;"&amp;H54)),H54)</f>
        <v>#VALUE!</v>
      </c>
      <c r="I141" s="336"/>
      <c r="J141" s="116"/>
      <c r="K141" s="116"/>
      <c r="L141" s="66"/>
      <c r="M141" s="66"/>
      <c r="N141" s="116"/>
      <c r="O141" s="116"/>
      <c r="P141" s="116"/>
      <c r="Q141" s="116"/>
      <c r="R141" s="116"/>
      <c r="S141" s="116"/>
      <c r="T141" s="116"/>
      <c r="U141" s="116"/>
      <c r="V141" s="116"/>
      <c r="W141" s="116"/>
      <c r="X141" s="116"/>
      <c r="Y141" s="116"/>
      <c r="Z141" s="116"/>
      <c r="AA141" s="116"/>
      <c r="AB141" s="306"/>
      <c r="AC141" s="306"/>
      <c r="AD141" s="306"/>
      <c r="AE141" s="306"/>
      <c r="AF141" s="306"/>
    </row>
    <row r="142" spans="1:32" ht="15.75" x14ac:dyDescent="0.25">
      <c r="A142" s="334" t="s">
        <v>13</v>
      </c>
      <c r="B142" s="334"/>
      <c r="C142" s="217" t="e">
        <f>DATE(L120,K120,J121)</f>
        <v>#NUM!</v>
      </c>
      <c r="D142" s="64"/>
      <c r="E142" s="353" t="e">
        <f>IF(LARGE(LP01_A,1)=H141,"Top of pay scale reached. ","Move up a lockstep step")</f>
        <v>#VALUE!</v>
      </c>
      <c r="F142" s="353"/>
      <c r="G142" s="353"/>
      <c r="H142" s="336" t="e">
        <f>IF(COUNTIF(LP01_A,"&gt;"&amp;H55)&gt;=1,LARGE(LP01_A,COUNTIF(LP01_A,"&gt;"&amp;H55)),H55)</f>
        <v>#VALUE!</v>
      </c>
      <c r="I142" s="336"/>
      <c r="J142" s="71"/>
      <c r="K142" s="71"/>
      <c r="L142" s="70"/>
      <c r="M142" s="71"/>
      <c r="N142" s="116"/>
      <c r="O142" s="116"/>
      <c r="P142" s="116"/>
      <c r="Q142" s="116"/>
      <c r="R142" s="116"/>
      <c r="S142" s="116"/>
      <c r="T142" s="116"/>
      <c r="U142" s="116"/>
      <c r="V142" s="116"/>
      <c r="W142" s="116"/>
      <c r="X142" s="116"/>
      <c r="Y142" s="116"/>
      <c r="Z142" s="116"/>
      <c r="AA142" s="116"/>
      <c r="AB142" s="306"/>
      <c r="AC142" s="306"/>
      <c r="AD142" s="306"/>
      <c r="AE142" s="306"/>
      <c r="AF142" s="306"/>
    </row>
    <row r="143" spans="1:32" ht="28.5" x14ac:dyDescent="0.45">
      <c r="A143" s="67"/>
      <c r="B143" s="64"/>
      <c r="C143" s="64"/>
      <c r="D143" s="64"/>
      <c r="E143" s="64"/>
      <c r="F143" s="64"/>
      <c r="G143" s="64"/>
      <c r="H143" s="74" t="e">
        <f>IF(LARGE(LP01_A,1)=H141,SUM(H142*J125),"0")</f>
        <v>#VALUE!</v>
      </c>
      <c r="I143" s="354" t="e">
        <f>IF(LARGE(LP01_A,1)=H141,"Lump sum performance award","Lump sum not applicable")</f>
        <v>#VALUE!</v>
      </c>
      <c r="J143" s="354"/>
      <c r="K143" s="354"/>
      <c r="L143" s="74"/>
      <c r="M143" s="74"/>
      <c r="N143" s="116"/>
      <c r="O143" s="116"/>
      <c r="P143" s="116"/>
      <c r="Q143" s="116"/>
      <c r="R143" s="116"/>
      <c r="S143" s="116"/>
      <c r="T143" s="116"/>
      <c r="U143" s="116"/>
      <c r="V143" s="116"/>
      <c r="W143" s="116"/>
      <c r="X143" s="116"/>
      <c r="Y143" s="116"/>
      <c r="Z143" s="116"/>
      <c r="AA143" s="116"/>
      <c r="AB143" s="306"/>
      <c r="AC143" s="306"/>
      <c r="AD143" s="306"/>
      <c r="AE143" s="306"/>
      <c r="AF143" s="306"/>
    </row>
    <row r="144" spans="1:32" ht="28.5" x14ac:dyDescent="0.45">
      <c r="A144" s="67" t="s">
        <v>14</v>
      </c>
      <c r="B144" s="352">
        <v>43595</v>
      </c>
      <c r="C144" s="352"/>
      <c r="D144" s="335" t="s">
        <v>15</v>
      </c>
      <c r="E144" s="335"/>
      <c r="F144" s="335"/>
      <c r="G144" s="335"/>
      <c r="H144" s="336" t="e">
        <f>SUM(((H142*2%)+H142),((H142*2%)+H142)*0.2%)</f>
        <v>#VALUE!</v>
      </c>
      <c r="I144" s="336"/>
      <c r="J144" s="66"/>
      <c r="K144" s="66"/>
      <c r="L144" s="66"/>
      <c r="M144" s="66"/>
      <c r="N144" s="116"/>
      <c r="O144" s="116"/>
      <c r="P144" s="116"/>
      <c r="Q144" s="116"/>
      <c r="R144" s="116"/>
      <c r="S144" s="116"/>
      <c r="T144" s="116"/>
      <c r="U144" s="116"/>
      <c r="V144" s="116"/>
      <c r="W144" s="116"/>
      <c r="X144" s="116"/>
      <c r="Y144" s="116"/>
      <c r="Z144" s="116"/>
      <c r="AA144" s="116"/>
      <c r="AB144" s="306"/>
      <c r="AC144" s="306"/>
      <c r="AD144" s="306"/>
      <c r="AE144" s="306"/>
      <c r="AF144" s="306"/>
    </row>
    <row r="145" spans="1:32" ht="28.5" x14ac:dyDescent="0.45">
      <c r="A145" s="67"/>
      <c r="B145" s="292"/>
      <c r="C145" s="292"/>
      <c r="D145" s="290"/>
      <c r="E145" s="290"/>
      <c r="F145" s="290"/>
      <c r="G145" s="290"/>
      <c r="H145" s="116"/>
      <c r="I145" s="116"/>
      <c r="J145" s="116"/>
      <c r="K145" s="116"/>
      <c r="L145" s="66"/>
      <c r="M145" s="66"/>
      <c r="N145" s="116"/>
      <c r="O145" s="116"/>
      <c r="P145" s="116"/>
      <c r="Q145" s="116"/>
      <c r="R145" s="116"/>
      <c r="S145" s="116"/>
      <c r="T145" s="116"/>
      <c r="U145" s="116"/>
      <c r="V145" s="116"/>
      <c r="W145" s="116"/>
      <c r="X145" s="116"/>
      <c r="Y145" s="116"/>
      <c r="Z145" s="116"/>
      <c r="AA145" s="116"/>
      <c r="AB145" s="306"/>
      <c r="AC145" s="306"/>
      <c r="AD145" s="306"/>
      <c r="AE145" s="306"/>
      <c r="AF145" s="306"/>
    </row>
    <row r="146" spans="1:32" ht="15.75" x14ac:dyDescent="0.25">
      <c r="A146" s="68" t="s">
        <v>91</v>
      </c>
      <c r="B146" s="116"/>
      <c r="C146" s="69" t="e">
        <f>EDATE(C147,-6)</f>
        <v>#NUM!</v>
      </c>
      <c r="D146" s="116"/>
      <c r="E146" s="69"/>
      <c r="F146" s="365" t="e">
        <f>IF(LARGE(LP01_B,1)=H144,"Top of pay scale reached. ","Move up a lockstep step")</f>
        <v>#VALUE!</v>
      </c>
      <c r="G146" s="365"/>
      <c r="H146" s="336" t="e">
        <f>IF(COUNTIF(LP01_B,"&gt;"&amp;H144)&gt;=1,LARGE(LP01_B,COUNTIF(LP01_B,"&gt;"&amp;H144)),H144)</f>
        <v>#VALUE!</v>
      </c>
      <c r="I146" s="336"/>
      <c r="J146" s="66"/>
      <c r="K146" s="66"/>
      <c r="L146" s="66"/>
      <c r="M146" s="66"/>
      <c r="N146" s="116"/>
      <c r="O146" s="116"/>
      <c r="P146" s="116"/>
      <c r="Q146" s="116"/>
      <c r="R146" s="116"/>
      <c r="S146" s="116"/>
      <c r="T146" s="116"/>
      <c r="U146" s="116"/>
      <c r="V146" s="116"/>
      <c r="W146" s="116"/>
      <c r="X146" s="116"/>
      <c r="Y146" s="116"/>
      <c r="Z146" s="116"/>
      <c r="AA146" s="116"/>
      <c r="AB146" s="306"/>
      <c r="AC146" s="306"/>
      <c r="AD146" s="306"/>
      <c r="AE146" s="306"/>
      <c r="AF146" s="306"/>
    </row>
    <row r="147" spans="1:32" ht="15.75" x14ac:dyDescent="0.25">
      <c r="A147" s="334" t="s">
        <v>13</v>
      </c>
      <c r="B147" s="334"/>
      <c r="C147" s="91" t="e">
        <f>DATE(L121,K120,J121)</f>
        <v>#NUM!</v>
      </c>
      <c r="D147" s="64"/>
      <c r="E147" s="335" t="e">
        <f>IF(LARGE(LP01_B,1)=H146,"Top of pay scale reached. ","Move up a lockstep step")</f>
        <v>#VALUE!</v>
      </c>
      <c r="F147" s="335"/>
      <c r="G147" s="335"/>
      <c r="H147" s="336" t="e">
        <f>IF(COUNTIF(LP01_B,"&gt;"&amp;H146)&gt;=1,LARGE(LP01_B,COUNTIF(LP01_B,"&gt;"&amp;H146)),H146)</f>
        <v>#VALUE!</v>
      </c>
      <c r="I147" s="336"/>
      <c r="J147" s="76"/>
      <c r="K147" s="76"/>
      <c r="L147" s="76"/>
      <c r="M147" s="76"/>
      <c r="N147" s="116"/>
      <c r="O147" s="116"/>
      <c r="P147" s="116"/>
      <c r="Q147" s="116"/>
      <c r="R147" s="116"/>
      <c r="S147" s="116"/>
      <c r="T147" s="116"/>
      <c r="U147" s="116"/>
      <c r="V147" s="116"/>
      <c r="W147" s="116"/>
      <c r="X147" s="116"/>
      <c r="Y147" s="116"/>
      <c r="Z147" s="116"/>
      <c r="AA147" s="116"/>
      <c r="AB147" s="306"/>
      <c r="AC147" s="306"/>
      <c r="AD147" s="306"/>
      <c r="AE147" s="306"/>
      <c r="AF147" s="306"/>
    </row>
    <row r="148" spans="1:32" ht="28.5" x14ac:dyDescent="0.45">
      <c r="A148" s="67"/>
      <c r="B148" s="64"/>
      <c r="C148" s="64"/>
      <c r="D148" s="64"/>
      <c r="E148" s="65"/>
      <c r="F148" s="65"/>
      <c r="G148" s="78"/>
      <c r="H148" s="295" t="e">
        <f>IF(LARGE(LP01_B,1)=H146,SUM(H147*J126),"0")</f>
        <v>#VALUE!</v>
      </c>
      <c r="I148" s="363" t="e">
        <f>IF(LARGE(LP01_B,1)=H146,"Lump sum performance award","Lump sum not applicable")</f>
        <v>#VALUE!</v>
      </c>
      <c r="J148" s="363"/>
      <c r="K148" s="363"/>
      <c r="L148" s="66"/>
      <c r="M148" s="66"/>
      <c r="N148" s="116"/>
      <c r="O148" s="116"/>
      <c r="P148" s="116"/>
      <c r="Q148" s="116"/>
      <c r="R148" s="116"/>
      <c r="S148" s="116"/>
      <c r="T148" s="116"/>
      <c r="U148" s="116"/>
      <c r="V148" s="116"/>
      <c r="W148" s="116"/>
      <c r="X148" s="116"/>
      <c r="Y148" s="116"/>
      <c r="Z148" s="116"/>
      <c r="AA148" s="116"/>
      <c r="AB148" s="306"/>
      <c r="AC148" s="306"/>
      <c r="AD148" s="306"/>
      <c r="AE148" s="306"/>
      <c r="AF148" s="306"/>
    </row>
    <row r="149" spans="1:32" ht="28.5" x14ac:dyDescent="0.45">
      <c r="A149" s="67"/>
      <c r="B149" s="79"/>
      <c r="C149" s="79"/>
      <c r="D149" s="80"/>
      <c r="E149" s="80"/>
      <c r="F149" s="80"/>
      <c r="G149" s="80"/>
      <c r="H149" s="116"/>
      <c r="I149" s="116"/>
      <c r="J149" s="116"/>
      <c r="K149" s="116"/>
      <c r="L149" s="295"/>
      <c r="M149" s="295"/>
      <c r="N149" s="116"/>
      <c r="O149" s="116"/>
      <c r="P149" s="116"/>
      <c r="Q149" s="116"/>
      <c r="R149" s="116"/>
      <c r="S149" s="116"/>
      <c r="T149" s="116"/>
      <c r="U149" s="116"/>
      <c r="V149" s="116"/>
      <c r="W149" s="116"/>
      <c r="X149" s="116"/>
      <c r="Y149" s="116"/>
      <c r="Z149" s="116"/>
      <c r="AA149" s="116"/>
      <c r="AB149" s="306"/>
      <c r="AC149" s="306"/>
      <c r="AD149" s="306"/>
      <c r="AE149" s="306"/>
      <c r="AF149" s="306"/>
    </row>
    <row r="150" spans="1:32" ht="28.5" x14ac:dyDescent="0.45">
      <c r="A150" s="67"/>
      <c r="B150" s="352"/>
      <c r="C150" s="352"/>
      <c r="D150" s="370"/>
      <c r="E150" s="335"/>
      <c r="F150" s="335"/>
      <c r="G150" s="335"/>
      <c r="H150" s="371"/>
      <c r="I150" s="371"/>
      <c r="J150" s="295"/>
      <c r="K150" s="295"/>
      <c r="L150" s="295"/>
      <c r="M150" s="295"/>
      <c r="N150" s="116"/>
      <c r="O150" s="116"/>
      <c r="P150" s="116"/>
      <c r="Q150" s="116"/>
      <c r="R150" s="116"/>
      <c r="S150" s="116"/>
      <c r="T150" s="116"/>
      <c r="U150" s="116"/>
      <c r="V150" s="116"/>
      <c r="W150" s="116"/>
      <c r="X150" s="116"/>
      <c r="Y150" s="116"/>
      <c r="Z150" s="116"/>
      <c r="AA150" s="116"/>
      <c r="AB150" s="306"/>
      <c r="AC150" s="306"/>
      <c r="AD150" s="306"/>
      <c r="AE150" s="306"/>
      <c r="AF150" s="306"/>
    </row>
    <row r="151" spans="1:32" ht="28.5" x14ac:dyDescent="0.45">
      <c r="A151" s="67" t="s">
        <v>16</v>
      </c>
      <c r="B151" s="352">
        <v>43961</v>
      </c>
      <c r="C151" s="352"/>
      <c r="D151" s="335" t="s">
        <v>2</v>
      </c>
      <c r="E151" s="335"/>
      <c r="F151" s="335"/>
      <c r="G151" s="335"/>
      <c r="H151" s="336" t="e">
        <f>(H147*1.5%)+H147</f>
        <v>#VALUE!</v>
      </c>
      <c r="I151" s="336"/>
      <c r="J151" s="66"/>
      <c r="K151" s="66"/>
      <c r="L151" s="66"/>
      <c r="M151" s="66"/>
      <c r="N151" s="116"/>
      <c r="O151" s="116"/>
      <c r="P151" s="116"/>
      <c r="Q151" s="116"/>
      <c r="R151" s="116"/>
      <c r="S151" s="116"/>
      <c r="T151" s="116"/>
      <c r="U151" s="116"/>
      <c r="V151" s="116"/>
      <c r="W151" s="116"/>
      <c r="X151" s="116"/>
      <c r="Y151" s="116"/>
      <c r="Z151" s="116"/>
      <c r="AA151" s="116"/>
      <c r="AB151" s="306"/>
      <c r="AC151" s="306"/>
      <c r="AD151" s="306"/>
      <c r="AE151" s="306"/>
      <c r="AF151" s="306"/>
    </row>
    <row r="152" spans="1:32" ht="28.5" x14ac:dyDescent="0.45">
      <c r="A152" s="67"/>
      <c r="B152" s="292"/>
      <c r="C152" s="292"/>
      <c r="D152" s="290"/>
      <c r="E152" s="290"/>
      <c r="F152" s="290"/>
      <c r="G152" s="290"/>
      <c r="H152" s="116"/>
      <c r="I152" s="116"/>
      <c r="J152" s="116"/>
      <c r="K152" s="116"/>
      <c r="L152" s="66"/>
      <c r="M152" s="66"/>
      <c r="N152" s="116"/>
      <c r="O152" s="116"/>
      <c r="P152" s="116"/>
      <c r="Q152" s="116"/>
      <c r="R152" s="116"/>
      <c r="S152" s="116"/>
      <c r="T152" s="116"/>
      <c r="U152" s="116"/>
      <c r="V152" s="116"/>
      <c r="W152" s="116"/>
      <c r="X152" s="116"/>
      <c r="Y152" s="116"/>
      <c r="Z152" s="116"/>
      <c r="AA152" s="116"/>
      <c r="AB152" s="306"/>
      <c r="AC152" s="306"/>
      <c r="AD152" s="306"/>
      <c r="AE152" s="306"/>
      <c r="AF152" s="306"/>
    </row>
    <row r="153" spans="1:32" ht="15.75" x14ac:dyDescent="0.25">
      <c r="A153" s="68" t="s">
        <v>91</v>
      </c>
      <c r="B153" s="116"/>
      <c r="C153" s="69" t="e">
        <f>EDATE(C154,-6)</f>
        <v>#NUM!</v>
      </c>
      <c r="D153" s="116"/>
      <c r="E153" s="69"/>
      <c r="F153" s="365" t="e">
        <f>IF(LARGE(LP01_C,1)=H151,"Top of pay scale reached. ","Move up a lockstep step")</f>
        <v>#VALUE!</v>
      </c>
      <c r="G153" s="365"/>
      <c r="H153" s="336" t="e">
        <f>IF(COUNTIF(LP01_C,"&gt;"&amp;H151)&gt;=1,LARGE(LP01_C,COUNTIF(LP01_C,"&gt;"&amp;H151)),H151)</f>
        <v>#VALUE!</v>
      </c>
      <c r="I153" s="336"/>
      <c r="J153" s="66"/>
      <c r="K153" s="66"/>
      <c r="L153" s="66"/>
      <c r="M153" s="66"/>
      <c r="N153" s="116"/>
      <c r="O153" s="116"/>
      <c r="P153" s="116"/>
      <c r="Q153" s="116"/>
      <c r="R153" s="116"/>
      <c r="S153" s="116"/>
      <c r="T153" s="116"/>
      <c r="U153" s="116"/>
      <c r="V153" s="116"/>
      <c r="W153" s="116"/>
      <c r="X153" s="116"/>
      <c r="Y153" s="116"/>
      <c r="Z153" s="116"/>
      <c r="AA153" s="116"/>
      <c r="AB153" s="306"/>
      <c r="AC153" s="306"/>
      <c r="AD153" s="306"/>
      <c r="AE153" s="306"/>
      <c r="AF153" s="306"/>
    </row>
    <row r="154" spans="1:32" ht="15.75" x14ac:dyDescent="0.25">
      <c r="A154" s="334" t="s">
        <v>13</v>
      </c>
      <c r="B154" s="334"/>
      <c r="C154" s="91" t="e">
        <f>DATE(L122,K120,J121)</f>
        <v>#NUM!</v>
      </c>
      <c r="D154" s="64"/>
      <c r="E154" s="335" t="e">
        <f>IF(LARGE(LP01_C,1)=H153,"Top of pay scale reached. ","Move up a lockstep step")</f>
        <v>#VALUE!</v>
      </c>
      <c r="F154" s="335"/>
      <c r="G154" s="335"/>
      <c r="H154" s="336" t="e">
        <f>IF(COUNTIF(LP01_C,"&gt;"&amp;H153)&gt;=1,LARGE(LP01_C,COUNTIF(LP01_C,"&gt;"&amp;H153)),H153)</f>
        <v>#VALUE!</v>
      </c>
      <c r="I154" s="336"/>
      <c r="J154" s="337"/>
      <c r="K154" s="337"/>
      <c r="L154" s="337"/>
      <c r="M154" s="337"/>
      <c r="N154" s="116"/>
      <c r="O154" s="116"/>
      <c r="P154" s="116"/>
      <c r="Q154" s="116"/>
      <c r="R154" s="116"/>
      <c r="S154" s="116"/>
      <c r="T154" s="116"/>
      <c r="U154" s="116"/>
      <c r="V154" s="116"/>
      <c r="W154" s="116"/>
      <c r="X154" s="116"/>
      <c r="Y154" s="116"/>
      <c r="Z154" s="116"/>
      <c r="AA154" s="116"/>
      <c r="AB154" s="306"/>
      <c r="AC154" s="306"/>
      <c r="AD154" s="306"/>
      <c r="AE154" s="306"/>
      <c r="AF154" s="306"/>
    </row>
    <row r="155" spans="1:32" ht="28.5" x14ac:dyDescent="0.45">
      <c r="A155" s="67"/>
      <c r="B155" s="71"/>
      <c r="C155" s="64"/>
      <c r="D155" s="80"/>
      <c r="E155" s="80"/>
      <c r="F155" s="80"/>
      <c r="G155" s="80"/>
      <c r="H155" s="295" t="e">
        <f>IF(LARGE(LP01_C,1)=H153,SUM(H154*J127),"0")</f>
        <v>#VALUE!</v>
      </c>
      <c r="I155" s="363" t="e">
        <f>IF(LARGE(LP01_C,1)=H153,"Lump sum performance award","Lump sum not applicable")</f>
        <v>#VALUE!</v>
      </c>
      <c r="J155" s="363"/>
      <c r="K155" s="363"/>
      <c r="L155" s="84"/>
      <c r="M155" s="84"/>
      <c r="N155" s="116"/>
      <c r="O155" s="116"/>
      <c r="P155" s="116"/>
      <c r="Q155" s="116"/>
      <c r="R155" s="116"/>
      <c r="S155" s="116"/>
      <c r="T155" s="116"/>
      <c r="U155" s="116"/>
      <c r="V155" s="116"/>
      <c r="W155" s="116"/>
      <c r="X155" s="116"/>
      <c r="Y155" s="116"/>
      <c r="Z155" s="116"/>
      <c r="AA155" s="116"/>
      <c r="AB155" s="306"/>
      <c r="AC155" s="306"/>
      <c r="AD155" s="306"/>
      <c r="AE155" s="306"/>
      <c r="AF155" s="306"/>
    </row>
    <row r="156" spans="1:32" ht="28.5" x14ac:dyDescent="0.45">
      <c r="A156" s="67" t="s">
        <v>17</v>
      </c>
      <c r="B156" s="352">
        <v>44326</v>
      </c>
      <c r="C156" s="352"/>
      <c r="D156" s="335" t="s">
        <v>2</v>
      </c>
      <c r="E156" s="335"/>
      <c r="F156" s="335"/>
      <c r="G156" s="335"/>
      <c r="H156" s="364" t="e">
        <f>(H154*1.5%)+H154</f>
        <v>#VALUE!</v>
      </c>
      <c r="I156" s="336"/>
      <c r="J156" s="66"/>
      <c r="K156" s="66"/>
      <c r="L156" s="66"/>
      <c r="M156" s="66"/>
      <c r="N156" s="116"/>
      <c r="O156" s="116"/>
      <c r="P156" s="116"/>
      <c r="Q156" s="116"/>
      <c r="R156" s="116"/>
      <c r="S156" s="116"/>
      <c r="T156" s="116"/>
      <c r="U156" s="116"/>
      <c r="V156" s="116"/>
      <c r="W156" s="116"/>
      <c r="X156" s="116"/>
      <c r="Y156" s="116"/>
      <c r="Z156" s="116"/>
      <c r="AA156" s="116"/>
      <c r="AB156" s="306"/>
      <c r="AC156" s="306"/>
      <c r="AD156" s="306"/>
      <c r="AE156" s="306"/>
      <c r="AF156" s="306"/>
    </row>
    <row r="157" spans="1:32" ht="28.5" x14ac:dyDescent="0.45">
      <c r="A157" s="67"/>
      <c r="B157" s="292"/>
      <c r="C157" s="292"/>
      <c r="D157" s="290"/>
      <c r="E157" s="290"/>
      <c r="F157" s="290"/>
      <c r="G157" s="290"/>
      <c r="H157" s="116"/>
      <c r="I157" s="116"/>
      <c r="J157" s="116"/>
      <c r="K157" s="116"/>
      <c r="L157" s="66"/>
      <c r="M157" s="66"/>
      <c r="N157" s="116"/>
      <c r="O157" s="116"/>
      <c r="P157" s="116"/>
      <c r="Q157" s="116"/>
      <c r="R157" s="116"/>
      <c r="S157" s="116"/>
      <c r="T157" s="116"/>
      <c r="U157" s="116"/>
      <c r="V157" s="116"/>
      <c r="W157" s="116"/>
      <c r="X157" s="116"/>
      <c r="Y157" s="116"/>
      <c r="Z157" s="116"/>
      <c r="AA157" s="116"/>
      <c r="AB157" s="306"/>
      <c r="AC157" s="306"/>
      <c r="AD157" s="306"/>
      <c r="AE157" s="306"/>
      <c r="AF157" s="306"/>
    </row>
    <row r="158" spans="1:32" ht="15.75" x14ac:dyDescent="0.25">
      <c r="A158" s="68" t="s">
        <v>91</v>
      </c>
      <c r="B158" s="116"/>
      <c r="C158" s="69" t="e">
        <f>EDATE(C159,-6)</f>
        <v>#NUM!</v>
      </c>
      <c r="D158" s="116"/>
      <c r="E158" s="69"/>
      <c r="F158" s="365" t="e">
        <f>IF(LARGE(LP01_D,1)=H156,"Top of pay scale reached. ","Move up a lockstep step")</f>
        <v>#VALUE!</v>
      </c>
      <c r="G158" s="365"/>
      <c r="H158" s="336" t="e">
        <f>IF(COUNTIF(LP01_D,"&gt;"&amp;H156)&gt;=1,LARGE(LP01_D,COUNTIF(LP01_D,"&gt;"&amp;H156)),H156)</f>
        <v>#VALUE!</v>
      </c>
      <c r="I158" s="336"/>
      <c r="J158" s="66"/>
      <c r="K158" s="66"/>
      <c r="L158" s="66"/>
      <c r="M158" s="66"/>
      <c r="N158" s="116"/>
      <c r="O158" s="116"/>
      <c r="P158" s="116"/>
      <c r="Q158" s="116"/>
      <c r="R158" s="116"/>
      <c r="S158" s="116"/>
      <c r="T158" s="116"/>
      <c r="U158" s="116"/>
      <c r="V158" s="116"/>
      <c r="W158" s="116"/>
      <c r="X158" s="116"/>
      <c r="Y158" s="116"/>
      <c r="Z158" s="116"/>
      <c r="AA158" s="116"/>
      <c r="AB158" s="306"/>
      <c r="AC158" s="306"/>
      <c r="AD158" s="306"/>
      <c r="AE158" s="306"/>
      <c r="AF158" s="306"/>
    </row>
    <row r="159" spans="1:32" ht="15.75" x14ac:dyDescent="0.25">
      <c r="A159" s="334" t="s">
        <v>13</v>
      </c>
      <c r="B159" s="334"/>
      <c r="C159" s="91" t="e">
        <f>DATE(L123,K120,J121)</f>
        <v>#NUM!</v>
      </c>
      <c r="D159" s="64"/>
      <c r="E159" s="335" t="e">
        <f>IF(LARGE(LP01_D,1)=H158,"Top of pay scale reached. ","Move up a lockstep step")</f>
        <v>#VALUE!</v>
      </c>
      <c r="F159" s="335"/>
      <c r="G159" s="335"/>
      <c r="H159" s="336" t="e">
        <f>IF(COUNTIF(LP01_D,"&gt;"&amp;H158)&gt;=1,LARGE(LP01_D,COUNTIF(LP01_D,"&gt;"&amp;H158)),H158)</f>
        <v>#VALUE!</v>
      </c>
      <c r="I159" s="336"/>
      <c r="J159" s="66"/>
      <c r="K159" s="66"/>
      <c r="L159" s="66"/>
      <c r="M159" s="66"/>
      <c r="N159" s="116"/>
      <c r="O159" s="116"/>
      <c r="P159" s="116"/>
      <c r="Q159" s="116"/>
      <c r="R159" s="116"/>
      <c r="S159" s="116"/>
      <c r="T159" s="116"/>
      <c r="U159" s="116"/>
      <c r="V159" s="116"/>
      <c r="W159" s="116"/>
      <c r="X159" s="116"/>
      <c r="Y159" s="116"/>
      <c r="Z159" s="116"/>
      <c r="AA159" s="116"/>
      <c r="AB159" s="306"/>
      <c r="AC159" s="306"/>
      <c r="AD159" s="306"/>
      <c r="AE159" s="306"/>
      <c r="AF159" s="306"/>
    </row>
    <row r="160" spans="1:32" x14ac:dyDescent="0.25">
      <c r="A160" s="71"/>
      <c r="B160" s="71"/>
      <c r="C160" s="64"/>
      <c r="D160" s="80"/>
      <c r="E160" s="80"/>
      <c r="F160" s="80"/>
      <c r="G160" s="80"/>
      <c r="H160" s="295" t="e">
        <f>IF(LARGE(LP01_D,1)=H158,SUM(H159*J128),"0")</f>
        <v>#VALUE!</v>
      </c>
      <c r="I160" s="363" t="e">
        <f>IF(LARGE(LP01_D,1)=H158,"Lump sum performance award","Lump sum not applicable")</f>
        <v>#VALUE!</v>
      </c>
      <c r="J160" s="363"/>
      <c r="K160" s="363"/>
      <c r="L160" s="76"/>
      <c r="M160" s="76"/>
      <c r="N160" s="116"/>
      <c r="O160" s="116"/>
      <c r="P160" s="116"/>
      <c r="Q160" s="116"/>
      <c r="R160" s="116"/>
      <c r="S160" s="116"/>
      <c r="T160" s="116"/>
      <c r="U160" s="116"/>
      <c r="V160" s="116"/>
      <c r="W160" s="116"/>
      <c r="X160" s="116"/>
      <c r="Y160" s="116"/>
      <c r="Z160" s="116"/>
      <c r="AA160" s="116"/>
      <c r="AB160" s="306"/>
      <c r="AC160" s="306"/>
      <c r="AD160" s="306"/>
      <c r="AE160" s="306"/>
      <c r="AF160" s="306"/>
    </row>
    <row r="161" spans="1:32" x14ac:dyDescent="0.25">
      <c r="A161" s="71"/>
      <c r="B161" s="352">
        <v>44690</v>
      </c>
      <c r="C161" s="352"/>
      <c r="D161" s="353" t="s">
        <v>18</v>
      </c>
      <c r="E161" s="353"/>
      <c r="F161" s="353"/>
      <c r="G161" s="353"/>
      <c r="H161" s="295"/>
      <c r="I161" s="295"/>
      <c r="J161" s="295"/>
      <c r="K161" s="76"/>
      <c r="L161" s="76"/>
      <c r="M161" s="76"/>
      <c r="N161" s="116"/>
      <c r="O161" s="116"/>
      <c r="P161" s="116"/>
      <c r="Q161" s="116"/>
      <c r="R161" s="116"/>
      <c r="S161" s="116"/>
      <c r="T161" s="116"/>
      <c r="U161" s="116"/>
      <c r="V161" s="116"/>
      <c r="W161" s="116"/>
      <c r="X161" s="116"/>
      <c r="Y161" s="116"/>
      <c r="Z161" s="116"/>
      <c r="AA161" s="116"/>
      <c r="AB161" s="306"/>
      <c r="AC161" s="306"/>
      <c r="AD161" s="306"/>
      <c r="AE161" s="306"/>
      <c r="AF161" s="306"/>
    </row>
    <row r="162" spans="1:32" x14ac:dyDescent="0.25">
      <c r="A162" s="71"/>
      <c r="B162" s="292"/>
      <c r="C162" s="292">
        <v>44691</v>
      </c>
      <c r="D162" s="293"/>
      <c r="E162" s="293"/>
      <c r="F162" s="293"/>
      <c r="G162" s="293"/>
      <c r="H162" s="116"/>
      <c r="I162" s="116"/>
      <c r="J162" s="116"/>
      <c r="K162" s="116"/>
      <c r="L162" s="76"/>
      <c r="M162" s="76"/>
      <c r="N162" s="116"/>
      <c r="O162" s="116"/>
      <c r="P162" s="116"/>
      <c r="Q162" s="116"/>
      <c r="R162" s="116"/>
      <c r="S162" s="116"/>
      <c r="T162" s="116"/>
      <c r="U162" s="116"/>
      <c r="V162" s="116"/>
      <c r="W162" s="116"/>
      <c r="X162" s="116"/>
      <c r="Y162" s="116"/>
      <c r="Z162" s="116"/>
      <c r="AA162" s="116"/>
      <c r="AB162" s="306"/>
      <c r="AC162" s="306"/>
      <c r="AD162" s="306"/>
      <c r="AE162" s="306"/>
      <c r="AF162" s="306"/>
    </row>
    <row r="163" spans="1:32" x14ac:dyDescent="0.25">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306"/>
      <c r="AC163" s="306"/>
      <c r="AD163" s="306"/>
      <c r="AE163" s="306"/>
      <c r="AF163" s="306"/>
    </row>
    <row r="164" spans="1:32" x14ac:dyDescent="0.25">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306"/>
      <c r="AC164" s="306"/>
      <c r="AD164" s="306"/>
      <c r="AE164" s="306"/>
      <c r="AF164" s="306"/>
    </row>
    <row r="165" spans="1:32" x14ac:dyDescent="0.25">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306"/>
      <c r="AC165" s="306"/>
      <c r="AD165" s="306"/>
      <c r="AE165" s="306"/>
      <c r="AF165" s="306"/>
    </row>
    <row r="166" spans="1:32" x14ac:dyDescent="0.25">
      <c r="A166" s="116" t="s">
        <v>119</v>
      </c>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306"/>
      <c r="AC166" s="306"/>
      <c r="AD166" s="306"/>
      <c r="AE166" s="306"/>
      <c r="AF166" s="306"/>
    </row>
    <row r="167" spans="1:32" x14ac:dyDescent="0.25">
      <c r="A167" s="71"/>
      <c r="B167" s="106" t="s">
        <v>84</v>
      </c>
      <c r="C167" s="107"/>
      <c r="D167" s="106" t="s">
        <v>29</v>
      </c>
      <c r="E167" s="107"/>
      <c r="F167" s="107"/>
      <c r="G167" s="107"/>
      <c r="H167" s="107"/>
      <c r="I167" s="107"/>
      <c r="J167" s="71"/>
      <c r="K167" s="71"/>
      <c r="L167" s="116"/>
      <c r="M167" s="116"/>
      <c r="N167" s="116"/>
      <c r="O167" s="116"/>
      <c r="P167" s="116"/>
      <c r="Q167" s="116"/>
      <c r="R167" s="116"/>
      <c r="S167" s="116"/>
      <c r="T167" s="116"/>
      <c r="U167" s="116"/>
      <c r="V167" s="116"/>
      <c r="W167" s="116"/>
      <c r="X167" s="116"/>
      <c r="Y167" s="116"/>
      <c r="Z167" s="116"/>
      <c r="AA167" s="116"/>
      <c r="AB167" s="306"/>
      <c r="AC167" s="306"/>
      <c r="AD167" s="306"/>
      <c r="AE167" s="306"/>
      <c r="AF167" s="306"/>
    </row>
    <row r="168" spans="1:32" x14ac:dyDescent="0.25">
      <c r="A168" s="71"/>
      <c r="B168" s="107"/>
      <c r="C168" s="107"/>
      <c r="D168" s="109">
        <v>1</v>
      </c>
      <c r="E168" s="109">
        <v>2</v>
      </c>
      <c r="F168" s="109">
        <v>3</v>
      </c>
      <c r="G168" s="109">
        <v>4</v>
      </c>
      <c r="H168" s="109">
        <v>5</v>
      </c>
      <c r="I168" s="109">
        <v>6</v>
      </c>
      <c r="J168" s="71">
        <v>7</v>
      </c>
      <c r="K168" s="71">
        <v>8</v>
      </c>
      <c r="L168" s="116"/>
      <c r="M168" s="109">
        <v>1</v>
      </c>
      <c r="N168" s="109">
        <v>2</v>
      </c>
      <c r="O168" s="109">
        <v>3</v>
      </c>
      <c r="P168" s="109">
        <v>4</v>
      </c>
      <c r="Q168" s="109">
        <v>5</v>
      </c>
      <c r="R168" s="109">
        <v>6</v>
      </c>
      <c r="S168" s="71">
        <v>7</v>
      </c>
      <c r="T168" s="71">
        <v>8</v>
      </c>
      <c r="U168" s="116"/>
      <c r="V168" s="116"/>
      <c r="W168" s="116"/>
      <c r="X168" s="116"/>
      <c r="Y168" s="116"/>
      <c r="Z168" s="116"/>
      <c r="AA168" s="116"/>
      <c r="AB168" s="306"/>
      <c r="AC168" s="306"/>
      <c r="AD168" s="306"/>
      <c r="AE168" s="306"/>
      <c r="AF168" s="306"/>
    </row>
    <row r="169" spans="1:32" x14ac:dyDescent="0.25">
      <c r="A169" s="71"/>
      <c r="B169" s="110" t="s">
        <v>0</v>
      </c>
      <c r="C169" s="106" t="s">
        <v>1</v>
      </c>
      <c r="D169" s="116">
        <v>76142</v>
      </c>
      <c r="E169" s="116">
        <v>79722</v>
      </c>
      <c r="F169" s="116">
        <v>83468</v>
      </c>
      <c r="G169" s="116">
        <v>87392</v>
      </c>
      <c r="H169" s="116">
        <v>91500</v>
      </c>
      <c r="I169" s="116">
        <v>95799</v>
      </c>
      <c r="J169" s="116">
        <v>100302</v>
      </c>
      <c r="K169" s="116">
        <v>105015</v>
      </c>
      <c r="L169" s="116"/>
      <c r="M169" s="116"/>
      <c r="N169" s="116"/>
      <c r="O169" s="116"/>
      <c r="P169" s="116"/>
      <c r="Q169" s="116"/>
      <c r="R169" s="116"/>
      <c r="S169" s="116"/>
      <c r="T169" s="116"/>
      <c r="U169" s="116"/>
      <c r="V169" s="116"/>
      <c r="W169" s="116"/>
      <c r="X169" s="116"/>
      <c r="Y169" s="116"/>
      <c r="Z169" s="116"/>
      <c r="AA169" s="116"/>
      <c r="AB169" s="306"/>
      <c r="AC169" s="306"/>
      <c r="AD169" s="306"/>
      <c r="AE169" s="306"/>
      <c r="AF169" s="306"/>
    </row>
    <row r="170" spans="1:32" x14ac:dyDescent="0.25">
      <c r="A170" s="71"/>
      <c r="B170" s="110"/>
      <c r="C170" s="106" t="s">
        <v>23</v>
      </c>
      <c r="D170" s="111">
        <v>78286</v>
      </c>
      <c r="E170" s="111">
        <v>81967</v>
      </c>
      <c r="F170" s="111">
        <v>85818</v>
      </c>
      <c r="G170" s="111">
        <v>89853</v>
      </c>
      <c r="H170" s="111">
        <v>94077</v>
      </c>
      <c r="I170" s="111">
        <v>98497</v>
      </c>
      <c r="J170" s="111">
        <v>103127</v>
      </c>
      <c r="K170" s="111">
        <v>107972</v>
      </c>
      <c r="L170" s="116"/>
      <c r="M170" s="155">
        <f>ROUND(D170,0)</f>
        <v>78286</v>
      </c>
      <c r="N170" s="155">
        <f t="shared" ref="N170:T174" si="14">ROUND(E170,0)</f>
        <v>81967</v>
      </c>
      <c r="O170" s="155">
        <f t="shared" si="14"/>
        <v>85818</v>
      </c>
      <c r="P170" s="155">
        <f t="shared" si="14"/>
        <v>89853</v>
      </c>
      <c r="Q170" s="155">
        <f t="shared" si="14"/>
        <v>94077</v>
      </c>
      <c r="R170" s="155">
        <f t="shared" si="14"/>
        <v>98497</v>
      </c>
      <c r="S170" s="155">
        <f t="shared" si="14"/>
        <v>103127</v>
      </c>
      <c r="T170" s="155">
        <f t="shared" si="14"/>
        <v>107972</v>
      </c>
      <c r="U170" s="116"/>
      <c r="V170" s="116"/>
      <c r="W170" s="116"/>
      <c r="X170" s="116"/>
      <c r="Y170" s="116"/>
      <c r="Z170" s="116"/>
      <c r="AA170" s="116"/>
      <c r="AB170" s="306"/>
      <c r="AC170" s="306"/>
      <c r="AD170" s="306"/>
      <c r="AE170" s="306"/>
      <c r="AF170" s="306"/>
    </row>
    <row r="171" spans="1:32" x14ac:dyDescent="0.25">
      <c r="A171" s="71"/>
      <c r="B171" s="110"/>
      <c r="C171" s="106" t="s">
        <v>24</v>
      </c>
      <c r="D171" s="111">
        <v>80012</v>
      </c>
      <c r="E171" s="111">
        <v>83774</v>
      </c>
      <c r="F171" s="111">
        <v>87710</v>
      </c>
      <c r="G171" s="111">
        <v>91833</v>
      </c>
      <c r="H171" s="111">
        <v>96150</v>
      </c>
      <c r="I171" s="111">
        <v>100668</v>
      </c>
      <c r="J171" s="111">
        <v>105399</v>
      </c>
      <c r="K171" s="111">
        <v>110352</v>
      </c>
      <c r="L171" s="116"/>
      <c r="M171" s="155">
        <f t="shared" ref="M171:M174" si="15">ROUND(D171,0)</f>
        <v>80012</v>
      </c>
      <c r="N171" s="155">
        <f t="shared" si="14"/>
        <v>83774</v>
      </c>
      <c r="O171" s="155">
        <f t="shared" si="14"/>
        <v>87710</v>
      </c>
      <c r="P171" s="155">
        <f t="shared" si="14"/>
        <v>91833</v>
      </c>
      <c r="Q171" s="155">
        <f t="shared" si="14"/>
        <v>96150</v>
      </c>
      <c r="R171" s="155">
        <f t="shared" si="14"/>
        <v>100668</v>
      </c>
      <c r="S171" s="155">
        <f t="shared" si="14"/>
        <v>105399</v>
      </c>
      <c r="T171" s="155">
        <f t="shared" si="14"/>
        <v>110352</v>
      </c>
      <c r="U171" s="116"/>
      <c r="V171" s="116"/>
      <c r="W171" s="116"/>
      <c r="X171" s="116"/>
      <c r="Y171" s="116"/>
      <c r="Z171" s="116"/>
      <c r="AA171" s="116"/>
      <c r="AB171" s="306"/>
      <c r="AC171" s="306"/>
      <c r="AD171" s="306"/>
      <c r="AE171" s="306"/>
      <c r="AF171" s="306"/>
    </row>
    <row r="172" spans="1:32" x14ac:dyDescent="0.25">
      <c r="A172" s="71"/>
      <c r="B172" s="110"/>
      <c r="C172" s="106"/>
      <c r="D172" s="111">
        <v>0</v>
      </c>
      <c r="E172" s="111">
        <v>0</v>
      </c>
      <c r="F172" s="111">
        <v>0</v>
      </c>
      <c r="G172" s="111">
        <v>0</v>
      </c>
      <c r="H172" s="111">
        <v>0</v>
      </c>
      <c r="I172" s="111">
        <v>0</v>
      </c>
      <c r="J172" s="111">
        <v>0</v>
      </c>
      <c r="K172" s="111">
        <v>0</v>
      </c>
      <c r="L172" s="116"/>
      <c r="M172" s="155">
        <f t="shared" si="15"/>
        <v>0</v>
      </c>
      <c r="N172" s="155">
        <f t="shared" si="14"/>
        <v>0</v>
      </c>
      <c r="O172" s="155">
        <f t="shared" si="14"/>
        <v>0</v>
      </c>
      <c r="P172" s="155">
        <f t="shared" si="14"/>
        <v>0</v>
      </c>
      <c r="Q172" s="155">
        <f t="shared" si="14"/>
        <v>0</v>
      </c>
      <c r="R172" s="155">
        <f t="shared" si="14"/>
        <v>0</v>
      </c>
      <c r="S172" s="155">
        <f t="shared" si="14"/>
        <v>0</v>
      </c>
      <c r="T172" s="155">
        <f t="shared" si="14"/>
        <v>0</v>
      </c>
      <c r="U172" s="116"/>
      <c r="V172" s="116"/>
      <c r="W172" s="116"/>
      <c r="X172" s="116"/>
      <c r="Y172" s="116"/>
      <c r="Z172" s="116"/>
      <c r="AA172" s="116"/>
      <c r="AB172" s="306"/>
      <c r="AC172" s="306"/>
      <c r="AD172" s="306"/>
      <c r="AE172" s="306"/>
      <c r="AF172" s="306"/>
    </row>
    <row r="173" spans="1:32" x14ac:dyDescent="0.25">
      <c r="A173" s="71"/>
      <c r="B173" s="110"/>
      <c r="C173" s="106" t="s">
        <v>26</v>
      </c>
      <c r="D173" s="111">
        <v>81212</v>
      </c>
      <c r="E173" s="111">
        <v>85030</v>
      </c>
      <c r="F173" s="111">
        <v>89026</v>
      </c>
      <c r="G173" s="111">
        <v>93211</v>
      </c>
      <c r="H173" s="111">
        <v>97592</v>
      </c>
      <c r="I173" s="111">
        <v>102178</v>
      </c>
      <c r="J173" s="111">
        <v>106980</v>
      </c>
      <c r="K173" s="111">
        <v>112007</v>
      </c>
      <c r="L173" s="116"/>
      <c r="M173" s="155">
        <f t="shared" si="15"/>
        <v>81212</v>
      </c>
      <c r="N173" s="155">
        <f t="shared" si="14"/>
        <v>85030</v>
      </c>
      <c r="O173" s="155">
        <f t="shared" si="14"/>
        <v>89026</v>
      </c>
      <c r="P173" s="155">
        <f t="shared" si="14"/>
        <v>93211</v>
      </c>
      <c r="Q173" s="155">
        <f t="shared" si="14"/>
        <v>97592</v>
      </c>
      <c r="R173" s="155">
        <f t="shared" si="14"/>
        <v>102178</v>
      </c>
      <c r="S173" s="155">
        <f t="shared" si="14"/>
        <v>106980</v>
      </c>
      <c r="T173" s="155">
        <f t="shared" si="14"/>
        <v>112007</v>
      </c>
      <c r="U173" s="116"/>
      <c r="V173" s="116"/>
      <c r="W173" s="116"/>
      <c r="X173" s="116"/>
      <c r="Y173" s="116"/>
      <c r="Z173" s="116"/>
      <c r="AA173" s="116"/>
      <c r="AB173" s="306"/>
      <c r="AC173" s="306"/>
      <c r="AD173" s="306"/>
      <c r="AE173" s="306"/>
      <c r="AF173" s="306"/>
    </row>
    <row r="174" spans="1:32" x14ac:dyDescent="0.25">
      <c r="A174" s="71"/>
      <c r="B174" s="110"/>
      <c r="C174" s="106" t="s">
        <v>27</v>
      </c>
      <c r="D174" s="111">
        <v>82430</v>
      </c>
      <c r="E174" s="111">
        <v>86306</v>
      </c>
      <c r="F174" s="111">
        <v>90361</v>
      </c>
      <c r="G174" s="111">
        <v>94609</v>
      </c>
      <c r="H174" s="111">
        <v>99056</v>
      </c>
      <c r="I174" s="111">
        <v>103710</v>
      </c>
      <c r="J174" s="111">
        <v>108585</v>
      </c>
      <c r="K174" s="111">
        <v>113687</v>
      </c>
      <c r="L174" s="116"/>
      <c r="M174" s="155">
        <f t="shared" si="15"/>
        <v>82430</v>
      </c>
      <c r="N174" s="155">
        <f t="shared" si="14"/>
        <v>86306</v>
      </c>
      <c r="O174" s="155">
        <f t="shared" si="14"/>
        <v>90361</v>
      </c>
      <c r="P174" s="155">
        <f t="shared" si="14"/>
        <v>94609</v>
      </c>
      <c r="Q174" s="155">
        <f t="shared" si="14"/>
        <v>99056</v>
      </c>
      <c r="R174" s="155">
        <f t="shared" si="14"/>
        <v>103710</v>
      </c>
      <c r="S174" s="155">
        <f t="shared" si="14"/>
        <v>108585</v>
      </c>
      <c r="T174" s="155">
        <f t="shared" si="14"/>
        <v>113687</v>
      </c>
      <c r="U174" s="116"/>
      <c r="V174" s="116"/>
      <c r="W174" s="116"/>
      <c r="X174" s="116"/>
      <c r="Y174" s="116"/>
      <c r="Z174" s="116"/>
      <c r="AA174" s="116"/>
      <c r="AB174" s="306"/>
      <c r="AC174" s="306"/>
      <c r="AD174" s="306"/>
      <c r="AE174" s="306"/>
      <c r="AF174" s="306"/>
    </row>
    <row r="175" spans="1:32" x14ac:dyDescent="0.25">
      <c r="A175" s="71"/>
      <c r="B175" s="110"/>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306"/>
      <c r="AC175" s="306"/>
      <c r="AD175" s="306"/>
      <c r="AE175" s="306"/>
      <c r="AF175" s="306"/>
    </row>
    <row r="176" spans="1:32" x14ac:dyDescent="0.25">
      <c r="A176" s="71"/>
      <c r="B176" s="71"/>
      <c r="C176" s="71"/>
      <c r="D176" s="71"/>
      <c r="E176" s="71"/>
      <c r="F176" s="71"/>
      <c r="G176" s="71"/>
      <c r="H176" s="71"/>
      <c r="I176" s="71"/>
      <c r="J176" s="71"/>
      <c r="K176" s="71"/>
      <c r="L176" s="116"/>
      <c r="M176" s="116"/>
      <c r="N176" s="116"/>
      <c r="O176" s="116"/>
      <c r="P176" s="116"/>
      <c r="Q176" s="116"/>
      <c r="R176" s="116"/>
      <c r="S176" s="116"/>
      <c r="T176" s="116"/>
      <c r="U176" s="116"/>
      <c r="V176" s="116"/>
      <c r="W176" s="116"/>
      <c r="X176" s="116"/>
      <c r="Y176" s="116"/>
      <c r="Z176" s="116"/>
      <c r="AA176" s="116"/>
      <c r="AB176" s="306"/>
      <c r="AC176" s="306"/>
      <c r="AD176" s="306"/>
      <c r="AE176" s="306"/>
      <c r="AF176" s="306"/>
    </row>
    <row r="177" spans="1:32" x14ac:dyDescent="0.25">
      <c r="A177" s="71"/>
      <c r="B177" s="106" t="s">
        <v>85</v>
      </c>
      <c r="C177" s="107"/>
      <c r="D177" s="107"/>
      <c r="E177" s="107"/>
      <c r="F177" s="107"/>
      <c r="G177" s="107"/>
      <c r="H177" s="107"/>
      <c r="I177" s="107"/>
      <c r="J177" s="107"/>
      <c r="K177" s="107"/>
      <c r="L177" s="116"/>
      <c r="M177" s="116"/>
      <c r="N177" s="116"/>
      <c r="O177" s="116"/>
      <c r="P177" s="116"/>
      <c r="Q177" s="116"/>
      <c r="R177" s="116"/>
      <c r="S177" s="116"/>
      <c r="T177" s="116"/>
      <c r="U177" s="116"/>
      <c r="V177" s="116"/>
      <c r="W177" s="116"/>
      <c r="X177" s="116"/>
      <c r="Y177" s="116"/>
      <c r="Z177" s="116"/>
      <c r="AA177" s="116"/>
      <c r="AB177" s="306"/>
      <c r="AC177" s="306"/>
      <c r="AD177" s="306"/>
      <c r="AE177" s="306"/>
      <c r="AF177" s="306"/>
    </row>
    <row r="178" spans="1:32" x14ac:dyDescent="0.25">
      <c r="A178" s="71"/>
      <c r="B178" s="107"/>
      <c r="C178" s="107"/>
      <c r="D178" s="109">
        <v>1</v>
      </c>
      <c r="E178" s="109">
        <v>2</v>
      </c>
      <c r="F178" s="109">
        <v>3</v>
      </c>
      <c r="G178" s="109">
        <v>4</v>
      </c>
      <c r="H178" s="109">
        <v>5</v>
      </c>
      <c r="I178" s="109">
        <v>6</v>
      </c>
      <c r="J178" s="109">
        <v>7</v>
      </c>
      <c r="K178" s="109">
        <v>8</v>
      </c>
      <c r="L178" s="116"/>
      <c r="M178" s="116"/>
      <c r="N178" s="116"/>
      <c r="O178" s="116"/>
      <c r="P178" s="116"/>
      <c r="Q178" s="116"/>
      <c r="R178" s="116"/>
      <c r="S178" s="116"/>
      <c r="T178" s="116"/>
      <c r="U178" s="116"/>
      <c r="V178" s="116"/>
      <c r="W178" s="116"/>
      <c r="X178" s="116"/>
      <c r="Y178" s="116"/>
      <c r="Z178" s="116"/>
      <c r="AA178" s="116"/>
      <c r="AB178" s="306"/>
      <c r="AC178" s="306"/>
      <c r="AD178" s="306"/>
      <c r="AE178" s="306"/>
      <c r="AF178" s="306"/>
    </row>
    <row r="179" spans="1:32" x14ac:dyDescent="0.25">
      <c r="A179" s="71"/>
      <c r="B179" s="110" t="s">
        <v>0</v>
      </c>
      <c r="C179" s="106" t="s">
        <v>1</v>
      </c>
      <c r="D179" s="116">
        <v>76142</v>
      </c>
      <c r="E179" s="116">
        <v>79722</v>
      </c>
      <c r="F179" s="116">
        <v>83468</v>
      </c>
      <c r="G179" s="116">
        <v>87392</v>
      </c>
      <c r="H179" s="116">
        <v>91500</v>
      </c>
      <c r="I179" s="116">
        <v>95799</v>
      </c>
      <c r="J179" s="116">
        <v>100302</v>
      </c>
      <c r="K179" s="116">
        <v>105015</v>
      </c>
      <c r="L179" s="116"/>
      <c r="M179" s="233">
        <v>76142</v>
      </c>
      <c r="N179" s="233">
        <v>79722</v>
      </c>
      <c r="O179" s="233">
        <v>83468</v>
      </c>
      <c r="P179" s="233">
        <v>87392</v>
      </c>
      <c r="Q179" s="233">
        <v>91500</v>
      </c>
      <c r="R179" s="233">
        <v>95799</v>
      </c>
      <c r="S179" s="233">
        <v>100302</v>
      </c>
      <c r="T179" s="233">
        <v>105015</v>
      </c>
      <c r="U179" s="116"/>
      <c r="V179" s="116"/>
      <c r="W179" s="116"/>
      <c r="X179" s="116"/>
      <c r="Y179" s="116"/>
      <c r="Z179" s="116"/>
      <c r="AA179" s="116"/>
      <c r="AB179" s="306"/>
      <c r="AC179" s="306"/>
      <c r="AD179" s="306"/>
      <c r="AE179" s="306"/>
      <c r="AF179" s="306"/>
    </row>
    <row r="180" spans="1:32" x14ac:dyDescent="0.25">
      <c r="A180" s="71"/>
      <c r="B180" s="110"/>
      <c r="C180" s="106" t="s">
        <v>23</v>
      </c>
      <c r="D180" s="117">
        <f>SUM(((D179*2%)+D179),((D179*2%)+D179)*0.8%)</f>
        <v>78286.158719999992</v>
      </c>
      <c r="E180" s="117">
        <f t="shared" ref="E180:K180" si="16">SUM(((E179*2%)+E179),((E179*2%)+E179)*0.8%)</f>
        <v>81966.971520000006</v>
      </c>
      <c r="F180" s="117">
        <f t="shared" si="16"/>
        <v>85818.458880000006</v>
      </c>
      <c r="G180" s="117">
        <f t="shared" si="16"/>
        <v>89852.958719999995</v>
      </c>
      <c r="H180" s="117">
        <f t="shared" si="16"/>
        <v>94076.64</v>
      </c>
      <c r="I180" s="117">
        <f t="shared" si="16"/>
        <v>98496.699840000001</v>
      </c>
      <c r="J180" s="117">
        <f t="shared" si="16"/>
        <v>103126.50431999999</v>
      </c>
      <c r="K180" s="117">
        <f t="shared" si="16"/>
        <v>107972.2224</v>
      </c>
      <c r="L180" s="155"/>
      <c r="M180" s="117">
        <f>ROUND(SUM(((M179*2%)+M179),((M179*2%)+M179)*0.8%),0)</f>
        <v>78286</v>
      </c>
      <c r="N180" s="117">
        <f t="shared" ref="N180:T180" si="17">SUM(((N179*2%)+N179),((N179*2%)+N179)*0.8%)</f>
        <v>81966.971520000006</v>
      </c>
      <c r="O180" s="117">
        <f t="shared" si="17"/>
        <v>85818.458880000006</v>
      </c>
      <c r="P180" s="117">
        <f t="shared" si="17"/>
        <v>89852.958719999995</v>
      </c>
      <c r="Q180" s="117">
        <f t="shared" si="17"/>
        <v>94076.64</v>
      </c>
      <c r="R180" s="117">
        <f t="shared" si="17"/>
        <v>98496.699840000001</v>
      </c>
      <c r="S180" s="117">
        <f t="shared" si="17"/>
        <v>103126.50431999999</v>
      </c>
      <c r="T180" s="117">
        <f t="shared" si="17"/>
        <v>107972.2224</v>
      </c>
      <c r="U180" s="116"/>
      <c r="V180" s="116"/>
      <c r="W180" s="116"/>
      <c r="X180" s="116"/>
      <c r="Y180" s="116"/>
      <c r="Z180" s="116"/>
      <c r="AA180" s="116"/>
      <c r="AB180" s="306"/>
      <c r="AC180" s="306"/>
      <c r="AD180" s="306"/>
      <c r="AE180" s="306"/>
      <c r="AF180" s="306"/>
    </row>
    <row r="181" spans="1:32" x14ac:dyDescent="0.25">
      <c r="A181" s="71"/>
      <c r="B181" s="110"/>
      <c r="C181" s="106" t="s">
        <v>24</v>
      </c>
      <c r="D181" s="117">
        <f>SUM(((D180*2%)+D180),((D180*2%)+D180)*0.2%)</f>
        <v>80011.585658188793</v>
      </c>
      <c r="E181" s="117">
        <f t="shared" ref="E181:K181" si="18">SUM(((E180*2%)+E180),((E180*2%)+E180)*0.2%)</f>
        <v>83773.523572300808</v>
      </c>
      <c r="F181" s="117">
        <f t="shared" si="18"/>
        <v>87709.897713715211</v>
      </c>
      <c r="G181" s="117">
        <f t="shared" si="18"/>
        <v>91833.317930188787</v>
      </c>
      <c r="H181" s="117">
        <f t="shared" si="18"/>
        <v>96150.089145599995</v>
      </c>
      <c r="I181" s="117">
        <f t="shared" si="18"/>
        <v>100667.56710447359</v>
      </c>
      <c r="J181" s="117">
        <f t="shared" si="18"/>
        <v>105399.4124752128</v>
      </c>
      <c r="K181" s="117">
        <f t="shared" si="18"/>
        <v>110351.93018169599</v>
      </c>
      <c r="L181" s="155"/>
      <c r="M181" s="117">
        <f>ROUND(SUM(((M180*2%)+M180),((M180*2%)+M180)*0.2%),0)</f>
        <v>80011</v>
      </c>
      <c r="N181" s="117">
        <f t="shared" ref="N181:T181" si="19">SUM(((N180*2%)+N180),((N180*2%)+N180)*0.2%)</f>
        <v>83773.523572300808</v>
      </c>
      <c r="O181" s="117">
        <f t="shared" si="19"/>
        <v>87709.897713715211</v>
      </c>
      <c r="P181" s="117">
        <f t="shared" si="19"/>
        <v>91833.317930188787</v>
      </c>
      <c r="Q181" s="117">
        <f t="shared" si="19"/>
        <v>96150.089145599995</v>
      </c>
      <c r="R181" s="117">
        <f t="shared" si="19"/>
        <v>100667.56710447359</v>
      </c>
      <c r="S181" s="117">
        <f t="shared" si="19"/>
        <v>105399.4124752128</v>
      </c>
      <c r="T181" s="117">
        <f t="shared" si="19"/>
        <v>110351.93018169599</v>
      </c>
      <c r="U181" s="116"/>
      <c r="V181" s="116"/>
      <c r="W181" s="116"/>
      <c r="X181" s="116"/>
      <c r="Y181" s="116"/>
      <c r="Z181" s="116"/>
      <c r="AA181" s="116"/>
      <c r="AB181" s="306"/>
      <c r="AC181" s="306"/>
      <c r="AD181" s="306"/>
      <c r="AE181" s="306"/>
      <c r="AF181" s="306"/>
    </row>
    <row r="182" spans="1:32" x14ac:dyDescent="0.25">
      <c r="A182" s="71"/>
      <c r="B182" s="110"/>
      <c r="C182" s="106"/>
      <c r="D182" s="117"/>
      <c r="E182" s="117"/>
      <c r="F182" s="117"/>
      <c r="G182" s="117"/>
      <c r="H182" s="117"/>
      <c r="I182" s="117"/>
      <c r="J182" s="117"/>
      <c r="K182" s="117"/>
      <c r="L182" s="155"/>
      <c r="M182" s="117"/>
      <c r="N182" s="117"/>
      <c r="O182" s="117"/>
      <c r="P182" s="117"/>
      <c r="Q182" s="117"/>
      <c r="R182" s="117"/>
      <c r="S182" s="117"/>
      <c r="T182" s="117"/>
      <c r="U182" s="116"/>
      <c r="V182" s="116"/>
      <c r="W182" s="116"/>
      <c r="X182" s="116"/>
      <c r="Y182" s="116"/>
      <c r="Z182" s="116"/>
      <c r="AA182" s="116"/>
      <c r="AB182" s="306"/>
      <c r="AC182" s="306"/>
      <c r="AD182" s="306"/>
      <c r="AE182" s="306"/>
      <c r="AF182" s="306"/>
    </row>
    <row r="183" spans="1:32" x14ac:dyDescent="0.25">
      <c r="A183" s="71"/>
      <c r="B183" s="110"/>
      <c r="C183" s="106" t="s">
        <v>26</v>
      </c>
      <c r="D183" s="117">
        <f>SUM(((D181*1.5%)+D181))</f>
        <v>81211.75944306163</v>
      </c>
      <c r="E183" s="117">
        <f t="shared" ref="E183:K183" si="20">SUM(((E181*1.5%)+E181))</f>
        <v>85030.126425885319</v>
      </c>
      <c r="F183" s="117">
        <f t="shared" si="20"/>
        <v>89025.54617942094</v>
      </c>
      <c r="G183" s="117">
        <f t="shared" si="20"/>
        <v>93210.817699141626</v>
      </c>
      <c r="H183" s="117">
        <f t="shared" si="20"/>
        <v>97592.340482783999</v>
      </c>
      <c r="I183" s="117">
        <f t="shared" si="20"/>
        <v>102177.5806110407</v>
      </c>
      <c r="J183" s="117">
        <f t="shared" si="20"/>
        <v>106980.40366234099</v>
      </c>
      <c r="K183" s="117">
        <f t="shared" si="20"/>
        <v>112007.20913442143</v>
      </c>
      <c r="L183" s="155"/>
      <c r="M183" s="117">
        <f>ROUND(SUM(((M181*1.5%)+M181)),0)</f>
        <v>81211</v>
      </c>
      <c r="N183" s="117">
        <f t="shared" ref="N183:T183" si="21">SUM(((N181*1.5%)+N181))</f>
        <v>85030.126425885319</v>
      </c>
      <c r="O183" s="117">
        <f t="shared" si="21"/>
        <v>89025.54617942094</v>
      </c>
      <c r="P183" s="117">
        <f t="shared" si="21"/>
        <v>93210.817699141626</v>
      </c>
      <c r="Q183" s="117">
        <f t="shared" si="21"/>
        <v>97592.340482783999</v>
      </c>
      <c r="R183" s="117">
        <f t="shared" si="21"/>
        <v>102177.5806110407</v>
      </c>
      <c r="S183" s="117">
        <f t="shared" si="21"/>
        <v>106980.40366234099</v>
      </c>
      <c r="T183" s="117">
        <f t="shared" si="21"/>
        <v>112007.20913442143</v>
      </c>
      <c r="U183" s="116"/>
      <c r="V183" s="116"/>
      <c r="W183" s="116"/>
      <c r="X183" s="116"/>
      <c r="Y183" s="116"/>
      <c r="Z183" s="116"/>
      <c r="AA183" s="116"/>
      <c r="AB183" s="306"/>
      <c r="AC183" s="306"/>
      <c r="AD183" s="306"/>
      <c r="AE183" s="306"/>
      <c r="AF183" s="306"/>
    </row>
    <row r="184" spans="1:32" x14ac:dyDescent="0.25">
      <c r="A184" s="71"/>
      <c r="B184" s="110"/>
      <c r="C184" s="106" t="s">
        <v>27</v>
      </c>
      <c r="D184" s="117">
        <f>SUM(((D183*1.5%)+D183))</f>
        <v>82429.935834707561</v>
      </c>
      <c r="E184" s="117">
        <f t="shared" ref="E184:K184" si="22">SUM(((E183*1.5%)+E183))</f>
        <v>86305.578322273592</v>
      </c>
      <c r="F184" s="117">
        <f t="shared" si="22"/>
        <v>90360.929372112252</v>
      </c>
      <c r="G184" s="117">
        <f t="shared" si="22"/>
        <v>94608.979964628757</v>
      </c>
      <c r="H184" s="117">
        <f t="shared" si="22"/>
        <v>99056.225590025759</v>
      </c>
      <c r="I184" s="117">
        <f t="shared" si="22"/>
        <v>103710.24432020632</v>
      </c>
      <c r="J184" s="117">
        <f t="shared" si="22"/>
        <v>108585.10971727611</v>
      </c>
      <c r="K184" s="117">
        <f t="shared" si="22"/>
        <v>113687.31727143774</v>
      </c>
      <c r="L184" s="155"/>
      <c r="M184" s="117">
        <f>ROUND(SUM(((M183*1.5%)+M183)),0)</f>
        <v>82429</v>
      </c>
      <c r="N184" s="117">
        <f t="shared" ref="N184:T184" si="23">SUM(((N183*1.5%)+N183))</f>
        <v>86305.578322273592</v>
      </c>
      <c r="O184" s="117">
        <f t="shared" si="23"/>
        <v>90360.929372112252</v>
      </c>
      <c r="P184" s="117">
        <f t="shared" si="23"/>
        <v>94608.979964628757</v>
      </c>
      <c r="Q184" s="117">
        <f t="shared" si="23"/>
        <v>99056.225590025759</v>
      </c>
      <c r="R184" s="117">
        <f t="shared" si="23"/>
        <v>103710.24432020632</v>
      </c>
      <c r="S184" s="117">
        <f t="shared" si="23"/>
        <v>108585.10971727611</v>
      </c>
      <c r="T184" s="117">
        <f t="shared" si="23"/>
        <v>113687.31727143774</v>
      </c>
      <c r="U184" s="116"/>
      <c r="V184" s="116"/>
      <c r="W184" s="116"/>
      <c r="X184" s="116"/>
      <c r="Y184" s="116"/>
      <c r="Z184" s="116"/>
      <c r="AA184" s="116"/>
      <c r="AB184" s="306"/>
      <c r="AC184" s="306"/>
      <c r="AD184" s="306"/>
      <c r="AE184" s="306"/>
      <c r="AF184" s="306"/>
    </row>
    <row r="185" spans="1:32" x14ac:dyDescent="0.25">
      <c r="A185" s="71"/>
      <c r="B185" s="71"/>
      <c r="C185" s="114"/>
      <c r="D185" s="90"/>
      <c r="E185" s="90"/>
      <c r="F185" s="90"/>
      <c r="G185" s="90"/>
      <c r="H185" s="90"/>
      <c r="I185" s="90"/>
      <c r="J185" s="90"/>
      <c r="K185" s="90"/>
      <c r="L185" s="116"/>
      <c r="M185" s="116"/>
      <c r="N185" s="116"/>
      <c r="O185" s="116"/>
      <c r="P185" s="116"/>
      <c r="Q185" s="116"/>
      <c r="R185" s="116"/>
      <c r="S185" s="116"/>
      <c r="T185" s="116"/>
      <c r="U185" s="116"/>
      <c r="V185" s="116"/>
      <c r="W185" s="116"/>
      <c r="X185" s="116"/>
      <c r="Y185" s="116"/>
      <c r="Z185" s="116"/>
      <c r="AA185" s="116"/>
      <c r="AB185" s="306"/>
      <c r="AC185" s="306"/>
      <c r="AD185" s="306"/>
      <c r="AE185" s="306"/>
      <c r="AF185" s="306"/>
    </row>
    <row r="186" spans="1:32" ht="21" x14ac:dyDescent="0.35">
      <c r="A186" s="63" t="s">
        <v>74</v>
      </c>
      <c r="B186" s="71"/>
      <c r="C186" s="71"/>
      <c r="D186" s="71"/>
      <c r="E186" s="71"/>
      <c r="F186" s="71"/>
      <c r="G186" s="71"/>
      <c r="H186" s="71"/>
      <c r="I186" s="71"/>
      <c r="J186" s="71"/>
      <c r="K186" s="71"/>
      <c r="L186" s="116"/>
      <c r="M186" s="116"/>
      <c r="N186" s="116"/>
      <c r="O186" s="116"/>
      <c r="P186" s="116"/>
      <c r="Q186" s="116"/>
      <c r="R186" s="116"/>
      <c r="S186" s="116"/>
      <c r="T186" s="116"/>
      <c r="U186" s="116"/>
      <c r="V186" s="116"/>
      <c r="W186" s="116"/>
      <c r="X186" s="116"/>
      <c r="Y186" s="116"/>
      <c r="Z186" s="116"/>
      <c r="AA186" s="116"/>
      <c r="AB186" s="306"/>
      <c r="AC186" s="306"/>
      <c r="AD186" s="306"/>
      <c r="AE186" s="306"/>
      <c r="AF186" s="306"/>
    </row>
    <row r="187" spans="1:32" x14ac:dyDescent="0.25">
      <c r="A187" s="116"/>
      <c r="B187" s="71"/>
      <c r="C187" s="71"/>
      <c r="D187" s="109">
        <v>1</v>
      </c>
      <c r="E187" s="109">
        <v>2</v>
      </c>
      <c r="F187" s="109">
        <v>3</v>
      </c>
      <c r="G187" s="109">
        <v>4</v>
      </c>
      <c r="H187" s="109">
        <v>5</v>
      </c>
      <c r="I187" s="109">
        <v>6</v>
      </c>
      <c r="J187" s="109">
        <v>7</v>
      </c>
      <c r="K187" s="109">
        <v>8</v>
      </c>
      <c r="L187" s="116"/>
      <c r="M187" s="116"/>
      <c r="N187" s="116"/>
      <c r="O187" s="116"/>
      <c r="P187" s="116"/>
      <c r="Q187" s="116"/>
      <c r="R187" s="116"/>
      <c r="S187" s="116"/>
      <c r="T187" s="116"/>
      <c r="U187" s="116"/>
      <c r="V187" s="116"/>
      <c r="W187" s="116"/>
      <c r="X187" s="116"/>
      <c r="Y187" s="116"/>
      <c r="Z187" s="116"/>
      <c r="AA187" s="116"/>
      <c r="AB187" s="306"/>
      <c r="AC187" s="306"/>
      <c r="AD187" s="306"/>
      <c r="AE187" s="306"/>
      <c r="AF187" s="306"/>
    </row>
    <row r="188" spans="1:32" x14ac:dyDescent="0.25">
      <c r="A188" s="71"/>
      <c r="B188" s="71"/>
      <c r="C188" s="106" t="s">
        <v>1</v>
      </c>
      <c r="D188" s="115">
        <f t="shared" ref="D188:K193" si="24">IF($I$4="Select",0,IF($I$4=$B$107,D169,IF($I$4=$B$117,D179)))</f>
        <v>0</v>
      </c>
      <c r="E188" s="115">
        <f t="shared" si="24"/>
        <v>0</v>
      </c>
      <c r="F188" s="115">
        <f t="shared" si="24"/>
        <v>0</v>
      </c>
      <c r="G188" s="115">
        <f t="shared" si="24"/>
        <v>0</v>
      </c>
      <c r="H188" s="115">
        <f t="shared" si="24"/>
        <v>0</v>
      </c>
      <c r="I188" s="115">
        <f t="shared" si="24"/>
        <v>0</v>
      </c>
      <c r="J188" s="115">
        <f t="shared" si="24"/>
        <v>0</v>
      </c>
      <c r="K188" s="115">
        <f t="shared" si="24"/>
        <v>0</v>
      </c>
      <c r="L188" s="116"/>
      <c r="M188" s="116"/>
      <c r="N188" s="116"/>
      <c r="O188" s="116"/>
      <c r="P188" s="116"/>
      <c r="Q188" s="116"/>
      <c r="R188" s="116"/>
      <c r="S188" s="116"/>
      <c r="T188" s="116"/>
      <c r="U188" s="116"/>
      <c r="V188" s="116"/>
      <c r="W188" s="116"/>
      <c r="X188" s="116"/>
      <c r="Y188" s="116"/>
      <c r="Z188" s="116"/>
      <c r="AA188" s="116"/>
      <c r="AB188" s="306"/>
      <c r="AC188" s="306"/>
      <c r="AD188" s="306"/>
      <c r="AE188" s="306"/>
      <c r="AF188" s="306"/>
    </row>
    <row r="189" spans="1:32" x14ac:dyDescent="0.25">
      <c r="A189" s="71"/>
      <c r="B189" s="71"/>
      <c r="C189" s="106" t="s">
        <v>23</v>
      </c>
      <c r="D189" s="115">
        <f t="shared" si="24"/>
        <v>0</v>
      </c>
      <c r="E189" s="115">
        <f t="shared" si="24"/>
        <v>0</v>
      </c>
      <c r="F189" s="115">
        <f t="shared" si="24"/>
        <v>0</v>
      </c>
      <c r="G189" s="115">
        <f t="shared" si="24"/>
        <v>0</v>
      </c>
      <c r="H189" s="115">
        <f t="shared" si="24"/>
        <v>0</v>
      </c>
      <c r="I189" s="115">
        <f t="shared" si="24"/>
        <v>0</v>
      </c>
      <c r="J189" s="115">
        <f t="shared" si="24"/>
        <v>0</v>
      </c>
      <c r="K189" s="115">
        <f t="shared" si="24"/>
        <v>0</v>
      </c>
      <c r="L189" s="116"/>
      <c r="M189" s="116"/>
      <c r="N189" s="116"/>
      <c r="O189" s="116"/>
      <c r="P189" s="116"/>
      <c r="Q189" s="116"/>
      <c r="R189" s="116"/>
      <c r="S189" s="116"/>
      <c r="T189" s="116"/>
      <c r="U189" s="116"/>
      <c r="V189" s="116"/>
      <c r="W189" s="116"/>
      <c r="X189" s="116"/>
      <c r="Y189" s="116"/>
      <c r="Z189" s="116"/>
      <c r="AA189" s="116"/>
      <c r="AB189" s="306"/>
      <c r="AC189" s="306"/>
      <c r="AD189" s="306"/>
      <c r="AE189" s="306"/>
      <c r="AF189" s="306"/>
    </row>
    <row r="190" spans="1:32" x14ac:dyDescent="0.25">
      <c r="A190" s="71"/>
      <c r="B190" s="71"/>
      <c r="C190" s="106" t="s">
        <v>24</v>
      </c>
      <c r="D190" s="115">
        <f t="shared" si="24"/>
        <v>0</v>
      </c>
      <c r="E190" s="115">
        <f t="shared" si="24"/>
        <v>0</v>
      </c>
      <c r="F190" s="115">
        <f t="shared" si="24"/>
        <v>0</v>
      </c>
      <c r="G190" s="115">
        <f t="shared" si="24"/>
        <v>0</v>
      </c>
      <c r="H190" s="115">
        <f t="shared" si="24"/>
        <v>0</v>
      </c>
      <c r="I190" s="115">
        <f t="shared" si="24"/>
        <v>0</v>
      </c>
      <c r="J190" s="115">
        <f t="shared" si="24"/>
        <v>0</v>
      </c>
      <c r="K190" s="115">
        <f t="shared" si="24"/>
        <v>0</v>
      </c>
      <c r="L190" s="116"/>
      <c r="M190" s="116"/>
      <c r="N190" s="116"/>
      <c r="O190" s="116"/>
      <c r="P190" s="116"/>
      <c r="Q190" s="116"/>
      <c r="R190" s="116"/>
      <c r="S190" s="116"/>
      <c r="T190" s="116"/>
      <c r="U190" s="116"/>
      <c r="V190" s="116"/>
      <c r="W190" s="116"/>
      <c r="X190" s="116"/>
      <c r="Y190" s="116"/>
      <c r="Z190" s="116"/>
      <c r="AA190" s="116"/>
      <c r="AB190" s="306"/>
      <c r="AC190" s="306"/>
      <c r="AD190" s="306"/>
      <c r="AE190" s="306"/>
      <c r="AF190" s="306"/>
    </row>
    <row r="191" spans="1:32" x14ac:dyDescent="0.25">
      <c r="A191" s="71"/>
      <c r="B191" s="71"/>
      <c r="C191" s="106" t="s">
        <v>25</v>
      </c>
      <c r="D191" s="115">
        <f t="shared" si="24"/>
        <v>0</v>
      </c>
      <c r="E191" s="115">
        <f t="shared" si="24"/>
        <v>0</v>
      </c>
      <c r="F191" s="115">
        <f t="shared" si="24"/>
        <v>0</v>
      </c>
      <c r="G191" s="115">
        <f t="shared" si="24"/>
        <v>0</v>
      </c>
      <c r="H191" s="115">
        <f t="shared" si="24"/>
        <v>0</v>
      </c>
      <c r="I191" s="115">
        <f t="shared" si="24"/>
        <v>0</v>
      </c>
      <c r="J191" s="115">
        <f t="shared" si="24"/>
        <v>0</v>
      </c>
      <c r="K191" s="115">
        <f t="shared" si="24"/>
        <v>0</v>
      </c>
      <c r="L191" s="116"/>
      <c r="M191" s="116"/>
      <c r="N191" s="116"/>
      <c r="O191" s="116"/>
      <c r="P191" s="116"/>
      <c r="Q191" s="116"/>
      <c r="R191" s="116"/>
      <c r="S191" s="116"/>
      <c r="T191" s="116"/>
      <c r="U191" s="116"/>
      <c r="V191" s="116"/>
      <c r="W191" s="116"/>
      <c r="X191" s="116"/>
      <c r="Y191" s="116"/>
      <c r="Z191" s="116"/>
      <c r="AA191" s="116"/>
      <c r="AB191" s="306"/>
      <c r="AC191" s="306"/>
      <c r="AD191" s="306"/>
      <c r="AE191" s="306"/>
      <c r="AF191" s="306"/>
    </row>
    <row r="192" spans="1:32" x14ac:dyDescent="0.25">
      <c r="A192" s="71"/>
      <c r="B192" s="71"/>
      <c r="C192" s="106" t="s">
        <v>26</v>
      </c>
      <c r="D192" s="115">
        <f t="shared" si="24"/>
        <v>0</v>
      </c>
      <c r="E192" s="115">
        <f t="shared" si="24"/>
        <v>0</v>
      </c>
      <c r="F192" s="115">
        <f t="shared" si="24"/>
        <v>0</v>
      </c>
      <c r="G192" s="115">
        <f t="shared" si="24"/>
        <v>0</v>
      </c>
      <c r="H192" s="115">
        <f t="shared" si="24"/>
        <v>0</v>
      </c>
      <c r="I192" s="115">
        <f t="shared" si="24"/>
        <v>0</v>
      </c>
      <c r="J192" s="115">
        <f t="shared" si="24"/>
        <v>0</v>
      </c>
      <c r="K192" s="115">
        <f t="shared" si="24"/>
        <v>0</v>
      </c>
      <c r="L192" s="116"/>
      <c r="M192" s="116"/>
      <c r="N192" s="116"/>
      <c r="O192" s="116"/>
      <c r="P192" s="116"/>
      <c r="Q192" s="116"/>
      <c r="R192" s="116"/>
      <c r="S192" s="116"/>
      <c r="T192" s="116"/>
      <c r="U192" s="116"/>
      <c r="V192" s="116"/>
      <c r="W192" s="116"/>
      <c r="X192" s="116"/>
      <c r="Y192" s="116"/>
      <c r="Z192" s="116"/>
      <c r="AA192" s="116"/>
      <c r="AB192" s="306"/>
      <c r="AC192" s="306"/>
      <c r="AD192" s="306"/>
      <c r="AE192" s="306"/>
      <c r="AF192" s="306"/>
    </row>
    <row r="193" spans="1:32" x14ac:dyDescent="0.25">
      <c r="A193" s="116"/>
      <c r="B193" s="116"/>
      <c r="C193" s="106" t="s">
        <v>27</v>
      </c>
      <c r="D193" s="115">
        <f t="shared" si="24"/>
        <v>0</v>
      </c>
      <c r="E193" s="115">
        <f t="shared" si="24"/>
        <v>0</v>
      </c>
      <c r="F193" s="115">
        <f t="shared" si="24"/>
        <v>0</v>
      </c>
      <c r="G193" s="115">
        <f t="shared" si="24"/>
        <v>0</v>
      </c>
      <c r="H193" s="115">
        <f t="shared" si="24"/>
        <v>0</v>
      </c>
      <c r="I193" s="115">
        <f t="shared" si="24"/>
        <v>0</v>
      </c>
      <c r="J193" s="115">
        <f t="shared" si="24"/>
        <v>0</v>
      </c>
      <c r="K193" s="115">
        <f t="shared" si="24"/>
        <v>0</v>
      </c>
      <c r="L193" s="116"/>
      <c r="M193" s="116"/>
      <c r="N193" s="116"/>
      <c r="O193" s="116"/>
      <c r="P193" s="116"/>
      <c r="Q193" s="116"/>
      <c r="R193" s="116"/>
      <c r="S193" s="116"/>
      <c r="T193" s="116"/>
      <c r="U193" s="116"/>
      <c r="V193" s="116"/>
      <c r="W193" s="116"/>
      <c r="X193" s="116"/>
      <c r="Y193" s="116"/>
      <c r="Z193" s="116"/>
      <c r="AA193" s="116"/>
      <c r="AB193" s="306"/>
      <c r="AC193" s="306"/>
      <c r="AD193" s="306"/>
      <c r="AE193" s="306"/>
      <c r="AF193" s="306"/>
    </row>
  </sheetData>
  <sheetProtection algorithmName="SHA-512" hashValue="/z2aeaR0Jivw2fIAttndKpObzMQ68guFPqnf8ZEm8XTA7mxWfW25wmLSh7RVRW0DPYFvFHRJK3SY9gVq8Li26g==" saltValue="OvvExziYn9v59SSXz6m9Dw==" spinCount="100000" sheet="1" objects="1" scenarios="1"/>
  <mergeCells count="173">
    <mergeCell ref="A60:B60"/>
    <mergeCell ref="A64:B64"/>
    <mergeCell ref="A68:B68"/>
    <mergeCell ref="O67:P67"/>
    <mergeCell ref="O63:P63"/>
    <mergeCell ref="O59:P59"/>
    <mergeCell ref="O55:P55"/>
    <mergeCell ref="I46:J46"/>
    <mergeCell ref="D42:G42"/>
    <mergeCell ref="H42:I42"/>
    <mergeCell ref="B43:C43"/>
    <mergeCell ref="E43:G43"/>
    <mergeCell ref="H35:I35"/>
    <mergeCell ref="I36:J36"/>
    <mergeCell ref="B37:C37"/>
    <mergeCell ref="B40:C40"/>
    <mergeCell ref="E40:G40"/>
    <mergeCell ref="H40:I40"/>
    <mergeCell ref="B45:C45"/>
    <mergeCell ref="E45:G45"/>
    <mergeCell ref="H45:I45"/>
    <mergeCell ref="I41:J41"/>
    <mergeCell ref="F153:G153"/>
    <mergeCell ref="H153:I153"/>
    <mergeCell ref="A154:B154"/>
    <mergeCell ref="E154:G154"/>
    <mergeCell ref="H154:I154"/>
    <mergeCell ref="H43:I43"/>
    <mergeCell ref="D47:I47"/>
    <mergeCell ref="B30:C30"/>
    <mergeCell ref="B42:C42"/>
    <mergeCell ref="B47:C47"/>
    <mergeCell ref="H38:I38"/>
    <mergeCell ref="H37:I37"/>
    <mergeCell ref="E31:G31"/>
    <mergeCell ref="H32:I32"/>
    <mergeCell ref="B33:C33"/>
    <mergeCell ref="H33:I33"/>
    <mergeCell ref="D32:G32"/>
    <mergeCell ref="E33:G33"/>
    <mergeCell ref="D37:G37"/>
    <mergeCell ref="B38:C38"/>
    <mergeCell ref="E38:G38"/>
    <mergeCell ref="H59:I59"/>
    <mergeCell ref="H62:I62"/>
    <mergeCell ref="H63:I63"/>
    <mergeCell ref="I160:K160"/>
    <mergeCell ref="B161:C161"/>
    <mergeCell ref="D161:G161"/>
    <mergeCell ref="F158:G158"/>
    <mergeCell ref="H158:I158"/>
    <mergeCell ref="A159:B159"/>
    <mergeCell ref="E159:G159"/>
    <mergeCell ref="H159:I159"/>
    <mergeCell ref="J154:M154"/>
    <mergeCell ref="I155:K155"/>
    <mergeCell ref="B156:C156"/>
    <mergeCell ref="D156:G156"/>
    <mergeCell ref="H156:I156"/>
    <mergeCell ref="I148:K148"/>
    <mergeCell ref="B150:C150"/>
    <mergeCell ref="D150:G150"/>
    <mergeCell ref="H150:I150"/>
    <mergeCell ref="B151:C151"/>
    <mergeCell ref="D151:G151"/>
    <mergeCell ref="H151:I151"/>
    <mergeCell ref="F146:G146"/>
    <mergeCell ref="H146:I146"/>
    <mergeCell ref="A147:B147"/>
    <mergeCell ref="E147:G147"/>
    <mergeCell ref="H147:I147"/>
    <mergeCell ref="A142:B142"/>
    <mergeCell ref="E142:G142"/>
    <mergeCell ref="H142:I142"/>
    <mergeCell ref="I143:K143"/>
    <mergeCell ref="B144:C144"/>
    <mergeCell ref="D144:G144"/>
    <mergeCell ref="H144:I144"/>
    <mergeCell ref="B140:C140"/>
    <mergeCell ref="D140:G140"/>
    <mergeCell ref="H140:I140"/>
    <mergeCell ref="J140:M140"/>
    <mergeCell ref="F141:G141"/>
    <mergeCell ref="H141:I141"/>
    <mergeCell ref="B100:C100"/>
    <mergeCell ref="B101:C101"/>
    <mergeCell ref="P100:Q100"/>
    <mergeCell ref="P101:Q101"/>
    <mergeCell ref="V55:W55"/>
    <mergeCell ref="S55:U55"/>
    <mergeCell ref="F55:G55"/>
    <mergeCell ref="S59:U59"/>
    <mergeCell ref="S60:U60"/>
    <mergeCell ref="H55:I55"/>
    <mergeCell ref="H60:I60"/>
    <mergeCell ref="H67:I67"/>
    <mergeCell ref="V56:W56"/>
    <mergeCell ref="V58:W58"/>
    <mergeCell ref="R58:U58"/>
    <mergeCell ref="W69:Y69"/>
    <mergeCell ref="P71:Q71"/>
    <mergeCell ref="R71:U71"/>
    <mergeCell ref="P66:Q66"/>
    <mergeCell ref="R66:U66"/>
    <mergeCell ref="V66:W66"/>
    <mergeCell ref="V64:W64"/>
    <mergeCell ref="V68:W68"/>
    <mergeCell ref="S68:U68"/>
    <mergeCell ref="X54:AA54"/>
    <mergeCell ref="V54:W54"/>
    <mergeCell ref="W61:Y61"/>
    <mergeCell ref="V60:W60"/>
    <mergeCell ref="P54:Q54"/>
    <mergeCell ref="R54:U54"/>
    <mergeCell ref="V59:W59"/>
    <mergeCell ref="P58:Q58"/>
    <mergeCell ref="H68:I68"/>
    <mergeCell ref="V62:W62"/>
    <mergeCell ref="V63:W63"/>
    <mergeCell ref="R62:U62"/>
    <mergeCell ref="P62:Q62"/>
    <mergeCell ref="V67:W67"/>
    <mergeCell ref="H64:I64"/>
    <mergeCell ref="H66:I66"/>
    <mergeCell ref="S64:U64"/>
    <mergeCell ref="B1:N1"/>
    <mergeCell ref="B71:C71"/>
    <mergeCell ref="D71:G71"/>
    <mergeCell ref="A56:B56"/>
    <mergeCell ref="E56:G56"/>
    <mergeCell ref="H56:I56"/>
    <mergeCell ref="I57:K57"/>
    <mergeCell ref="B58:C58"/>
    <mergeCell ref="D58:G58"/>
    <mergeCell ref="H58:I58"/>
    <mergeCell ref="J38:M38"/>
    <mergeCell ref="B27:C27"/>
    <mergeCell ref="D27:G27"/>
    <mergeCell ref="H27:I27"/>
    <mergeCell ref="J27:M27"/>
    <mergeCell ref="H30:I30"/>
    <mergeCell ref="B28:C28"/>
    <mergeCell ref="E28:G28"/>
    <mergeCell ref="H28:I28"/>
    <mergeCell ref="B2:N2"/>
    <mergeCell ref="B66:C66"/>
    <mergeCell ref="B62:C62"/>
    <mergeCell ref="E30:G30"/>
    <mergeCell ref="B31:C31"/>
    <mergeCell ref="B4:H4"/>
    <mergeCell ref="I4:J4"/>
    <mergeCell ref="C6:F6"/>
    <mergeCell ref="B13:G14"/>
    <mergeCell ref="H13:I13"/>
    <mergeCell ref="H14:I14"/>
    <mergeCell ref="B54:C54"/>
    <mergeCell ref="D54:G54"/>
    <mergeCell ref="H54:I54"/>
    <mergeCell ref="J54:M54"/>
    <mergeCell ref="B50:N50"/>
    <mergeCell ref="B16:I16"/>
    <mergeCell ref="B18:G19"/>
    <mergeCell ref="H18:I18"/>
    <mergeCell ref="H19:I19"/>
    <mergeCell ref="B11:I11"/>
    <mergeCell ref="H20:I20"/>
    <mergeCell ref="H21:I21"/>
    <mergeCell ref="D23:I23"/>
    <mergeCell ref="B25:N25"/>
    <mergeCell ref="I31:J31"/>
    <mergeCell ref="B32:C32"/>
    <mergeCell ref="B35:C35"/>
    <mergeCell ref="E35:G35"/>
  </mergeCells>
  <dataValidations count="4">
    <dataValidation type="decimal" allowBlank="1" showInputMessage="1" showErrorMessage="1" errorTitle="Invalid Entry" error="Please enter a value between 0 to 7" prompt="The value cannot exceed 7%" sqref="J18:J21" xr:uid="{00000000-0002-0000-0100-000000000000}">
      <formula1>0</formula1>
      <formula2>0.07</formula2>
    </dataValidation>
    <dataValidation type="list" allowBlank="1" showInputMessage="1" showErrorMessage="1" sqref="J11" xr:uid="{00000000-0002-0000-0100-000001000000}">
      <formula1>$B$8:$J$8</formula1>
    </dataValidation>
    <dataValidation type="list" allowBlank="1" showInputMessage="1" showErrorMessage="1" sqref="I4:J4" xr:uid="{00000000-0002-0000-0100-000002000000}">
      <formula1>"Select,LP-01_All of Canada except Toronto, LP-01_Toronto"</formula1>
    </dataValidation>
    <dataValidation type="date" operator="greaterThan" allowBlank="1" showInputMessage="1" showErrorMessage="1" sqref="J16" xr:uid="{00000000-0002-0000-0100-000003000000}">
      <formula1>B27</formula1>
    </dataValidation>
  </dataValidations>
  <pageMargins left="0.7" right="0.7" top="0.75" bottom="0.75" header="0.3" footer="0.3"/>
  <pageSetup orientation="portrait" verticalDpi="0" r:id="rId1"/>
  <ignoredErrors>
    <ignoredError sqref="E35 H35 H36:J36 E38 H37:H38"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'Data Validation'!$B$3:$B$34</xm:f>
          </x14:formula1>
          <xm:sqref>J14</xm:sqref>
        </x14:dataValidation>
        <x14:dataValidation type="list" allowBlank="1" showInputMessage="1" showErrorMessage="1" xr:uid="{00000000-0002-0000-0100-000005000000}">
          <x14:formula1>
            <xm:f>'Data Validation'!$A$3:$A$15</xm:f>
          </x14:formula1>
          <xm:sqref>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93"/>
  <sheetViews>
    <sheetView zoomScale="80" zoomScaleNormal="80" workbookViewId="0"/>
  </sheetViews>
  <sheetFormatPr defaultColWidth="8.85546875" defaultRowHeight="15" x14ac:dyDescent="0.25"/>
  <cols>
    <col min="1" max="1" width="3.7109375" style="236" customWidth="1"/>
    <col min="2" max="2" width="6.7109375" style="236" customWidth="1"/>
    <col min="3" max="3" width="17.7109375" style="236" customWidth="1"/>
    <col min="4" max="4" width="18.85546875" style="236" customWidth="1"/>
    <col min="5" max="5" width="12.28515625" style="236" customWidth="1"/>
    <col min="6" max="6" width="11.28515625" style="236" customWidth="1"/>
    <col min="7" max="7" width="10.42578125" style="236" customWidth="1"/>
    <col min="8" max="9" width="9.7109375" style="236" customWidth="1"/>
    <col min="10" max="10" width="19.28515625" style="236" customWidth="1"/>
    <col min="11" max="11" width="8.140625" style="236" customWidth="1"/>
    <col min="12" max="14" width="8.5703125" style="236" customWidth="1"/>
    <col min="15" max="15" width="3.28515625" style="236" customWidth="1"/>
    <col min="16" max="16" width="9.5703125" style="236" bestFit="1" customWidth="1"/>
    <col min="17" max="17" width="13.7109375" style="236" bestFit="1" customWidth="1"/>
    <col min="18" max="18" width="10.28515625" style="236" customWidth="1"/>
    <col min="19" max="20" width="10.5703125" style="236" bestFit="1" customWidth="1"/>
    <col min="21" max="21" width="8.85546875" style="236"/>
    <col min="22" max="22" width="9.5703125" style="236" bestFit="1" customWidth="1"/>
    <col min="23" max="16384" width="8.85546875" style="236"/>
  </cols>
  <sheetData>
    <row r="1" spans="1:15" ht="32.450000000000003" customHeight="1" thickTop="1" x14ac:dyDescent="0.35">
      <c r="A1" s="234"/>
      <c r="B1" s="350" t="s">
        <v>150</v>
      </c>
      <c r="C1" s="351"/>
      <c r="D1" s="351"/>
      <c r="E1" s="351"/>
      <c r="F1" s="351"/>
      <c r="G1" s="351"/>
      <c r="H1" s="351"/>
      <c r="I1" s="351"/>
      <c r="J1" s="351"/>
      <c r="K1" s="351"/>
      <c r="L1" s="351"/>
      <c r="M1" s="351"/>
      <c r="N1" s="351"/>
      <c r="O1" s="235"/>
    </row>
    <row r="2" spans="1:15" ht="69.599999999999994" customHeight="1" x14ac:dyDescent="0.25">
      <c r="A2" s="237"/>
      <c r="B2" s="360" t="s">
        <v>182</v>
      </c>
      <c r="C2" s="361"/>
      <c r="D2" s="361"/>
      <c r="E2" s="361"/>
      <c r="F2" s="361"/>
      <c r="G2" s="361"/>
      <c r="H2" s="361"/>
      <c r="I2" s="361"/>
      <c r="J2" s="361"/>
      <c r="K2" s="361"/>
      <c r="L2" s="361"/>
      <c r="M2" s="361"/>
      <c r="N2" s="361"/>
      <c r="O2" s="238"/>
    </row>
    <row r="3" spans="1:15" ht="21.6" customHeight="1" thickBot="1" x14ac:dyDescent="0.3">
      <c r="A3" s="237"/>
      <c r="B3" s="239"/>
      <c r="C3" s="40"/>
      <c r="D3" s="40"/>
      <c r="E3" s="40"/>
      <c r="F3" s="40"/>
      <c r="G3" s="40"/>
      <c r="H3" s="40"/>
      <c r="I3" s="40"/>
      <c r="J3" s="40"/>
      <c r="K3" s="40"/>
      <c r="L3" s="40"/>
      <c r="M3" s="40"/>
      <c r="N3" s="40"/>
      <c r="O3" s="240"/>
    </row>
    <row r="4" spans="1:15" ht="48" customHeight="1" thickTop="1" thickBot="1" x14ac:dyDescent="0.3">
      <c r="A4" s="241">
        <v>1</v>
      </c>
      <c r="B4" s="376" t="s">
        <v>185</v>
      </c>
      <c r="C4" s="377"/>
      <c r="D4" s="377"/>
      <c r="E4" s="377"/>
      <c r="F4" s="377"/>
      <c r="G4" s="377"/>
      <c r="H4" s="377"/>
      <c r="I4" s="321" t="s">
        <v>60</v>
      </c>
      <c r="J4" s="322"/>
      <c r="K4" s="40"/>
      <c r="L4" s="40"/>
      <c r="M4" s="40"/>
      <c r="N4" s="40"/>
      <c r="O4" s="240"/>
    </row>
    <row r="5" spans="1:15" ht="15.6" customHeight="1" thickTop="1" x14ac:dyDescent="0.25">
      <c r="A5" s="242"/>
      <c r="B5" s="239"/>
      <c r="C5" s="40"/>
      <c r="D5" s="203"/>
      <c r="E5" s="203"/>
      <c r="F5" s="203"/>
      <c r="G5" s="203"/>
      <c r="H5" s="203"/>
      <c r="I5" s="203"/>
      <c r="J5" s="203"/>
      <c r="K5" s="40"/>
      <c r="L5" s="40"/>
      <c r="M5" s="40"/>
      <c r="N5" s="40"/>
      <c r="O5" s="243"/>
    </row>
    <row r="6" spans="1:15" ht="14.45" customHeight="1" x14ac:dyDescent="0.25">
      <c r="A6" s="242"/>
      <c r="B6" s="202"/>
      <c r="C6" s="323" t="s">
        <v>152</v>
      </c>
      <c r="D6" s="323"/>
      <c r="E6" s="323"/>
      <c r="F6" s="323"/>
      <c r="G6" s="323"/>
      <c r="H6" s="203"/>
      <c r="I6" s="203"/>
      <c r="J6" s="203"/>
      <c r="K6" s="40"/>
      <c r="L6" s="40"/>
      <c r="M6" s="40"/>
      <c r="N6" s="194"/>
      <c r="O6" s="243"/>
    </row>
    <row r="7" spans="1:15" ht="15.6" customHeight="1" x14ac:dyDescent="0.25">
      <c r="A7" s="242"/>
      <c r="B7" s="204"/>
      <c r="C7" s="195">
        <f>IF($I$4="Sélectionner",0,IF($I$4=$B$107,D108,IF($I$4=$B$117,D118)))</f>
        <v>0</v>
      </c>
      <c r="D7" s="195">
        <f t="shared" ref="D7:J7" si="0">IF($I$4="Sélectionner",0,IF($I$4=$B$107,E108,IF($I$4=$B$117,E118)))</f>
        <v>0</v>
      </c>
      <c r="E7" s="195">
        <f t="shared" si="0"/>
        <v>0</v>
      </c>
      <c r="F7" s="195">
        <f t="shared" si="0"/>
        <v>0</v>
      </c>
      <c r="G7" s="195">
        <f t="shared" si="0"/>
        <v>0</v>
      </c>
      <c r="H7" s="195">
        <f t="shared" si="0"/>
        <v>0</v>
      </c>
      <c r="I7" s="195">
        <f t="shared" si="0"/>
        <v>0</v>
      </c>
      <c r="J7" s="195">
        <f t="shared" si="0"/>
        <v>0</v>
      </c>
      <c r="K7" s="195"/>
      <c r="L7" s="195"/>
      <c r="M7" s="195"/>
      <c r="N7" s="194"/>
      <c r="O7" s="243"/>
    </row>
    <row r="8" spans="1:15" ht="15.6" customHeight="1" x14ac:dyDescent="0.25">
      <c r="A8" s="242"/>
      <c r="B8" s="253" t="s">
        <v>60</v>
      </c>
      <c r="C8" s="35">
        <f>IF($I$4="Sélectionner",0,IF($I$4=$B$107,D109,IF($I$4=$B$117,D119)))</f>
        <v>0</v>
      </c>
      <c r="D8" s="35">
        <f t="shared" ref="D8:J8" si="1">IF($I$4="Sélectionner",0,IF($I$4=$B$107,E109,IF($I$4=$B$117,E119)))</f>
        <v>0</v>
      </c>
      <c r="E8" s="35">
        <f t="shared" si="1"/>
        <v>0</v>
      </c>
      <c r="F8" s="35">
        <f t="shared" si="1"/>
        <v>0</v>
      </c>
      <c r="G8" s="35">
        <f t="shared" si="1"/>
        <v>0</v>
      </c>
      <c r="H8" s="35">
        <f t="shared" si="1"/>
        <v>0</v>
      </c>
      <c r="I8" s="35">
        <f t="shared" si="1"/>
        <v>0</v>
      </c>
      <c r="J8" s="35">
        <f t="shared" si="1"/>
        <v>0</v>
      </c>
      <c r="K8" s="40"/>
      <c r="L8" s="40"/>
      <c r="M8" s="40"/>
      <c r="N8" s="194"/>
      <c r="O8" s="243"/>
    </row>
    <row r="9" spans="1:15" ht="15.6" customHeight="1" x14ac:dyDescent="0.25">
      <c r="A9" s="242"/>
      <c r="B9" s="244"/>
      <c r="C9" s="40"/>
      <c r="D9" s="40"/>
      <c r="E9" s="40"/>
      <c r="F9" s="40"/>
      <c r="G9" s="40"/>
      <c r="H9" s="40"/>
      <c r="I9" s="40"/>
      <c r="J9" s="40"/>
      <c r="K9" s="40"/>
      <c r="L9" s="40"/>
      <c r="M9" s="40"/>
      <c r="N9" s="40"/>
      <c r="O9" s="243"/>
    </row>
    <row r="10" spans="1:15" ht="21.6" customHeight="1" thickBot="1" x14ac:dyDescent="0.3">
      <c r="A10" s="242"/>
      <c r="B10" s="239"/>
      <c r="C10" s="40"/>
      <c r="D10" s="40"/>
      <c r="E10" s="40"/>
      <c r="F10" s="40"/>
      <c r="G10" s="40"/>
      <c r="H10" s="40"/>
      <c r="I10" s="40"/>
      <c r="J10" s="40"/>
      <c r="K10" s="40"/>
      <c r="L10" s="40"/>
      <c r="M10" s="40"/>
      <c r="N10" s="40"/>
      <c r="O10" s="243"/>
    </row>
    <row r="11" spans="1:15" ht="37.9" customHeight="1" thickTop="1" thickBot="1" x14ac:dyDescent="0.3">
      <c r="A11" s="241">
        <v>2</v>
      </c>
      <c r="B11" s="318" t="s">
        <v>153</v>
      </c>
      <c r="C11" s="319"/>
      <c r="D11" s="319"/>
      <c r="E11" s="319"/>
      <c r="F11" s="319"/>
      <c r="G11" s="319"/>
      <c r="H11" s="319"/>
      <c r="I11" s="320"/>
      <c r="J11" s="257" t="s">
        <v>60</v>
      </c>
      <c r="K11" s="196"/>
      <c r="L11" s="40"/>
      <c r="M11" s="40"/>
      <c r="N11" s="40"/>
      <c r="O11" s="243"/>
    </row>
    <row r="12" spans="1:15" ht="21.6" customHeight="1" thickTop="1" thickBot="1" x14ac:dyDescent="0.3">
      <c r="A12" s="242"/>
      <c r="B12" s="239"/>
      <c r="C12" s="40"/>
      <c r="D12" s="40"/>
      <c r="E12" s="40"/>
      <c r="F12" s="40"/>
      <c r="G12" s="40"/>
      <c r="H12" s="40"/>
      <c r="I12" s="40"/>
      <c r="J12" s="40"/>
      <c r="K12" s="197"/>
      <c r="L12" s="197"/>
      <c r="M12" s="40"/>
      <c r="N12" s="40"/>
      <c r="O12" s="243"/>
    </row>
    <row r="13" spans="1:15" ht="33.6" customHeight="1" thickTop="1" x14ac:dyDescent="0.25">
      <c r="A13" s="241">
        <v>3</v>
      </c>
      <c r="B13" s="324" t="s">
        <v>154</v>
      </c>
      <c r="C13" s="325"/>
      <c r="D13" s="325"/>
      <c r="E13" s="325"/>
      <c r="F13" s="325"/>
      <c r="G13" s="326"/>
      <c r="H13" s="330" t="s">
        <v>155</v>
      </c>
      <c r="I13" s="331"/>
      <c r="J13" s="37" t="s">
        <v>65</v>
      </c>
      <c r="K13" s="198" t="b">
        <f>IF(J13="January",1,IF(J13="February",2,IF(J13="March",3,IF(J13="April",4,IF(J13="May",5,IF(J13="June",6,IF(J13="July",7,IF(J13="August",8,IF(J13="September",9,IF(J13="October",10,IF(J13="November",11,IF(J13="December",12))))))))))))</f>
        <v>0</v>
      </c>
      <c r="L13" s="199">
        <v>2018</v>
      </c>
      <c r="M13" s="199"/>
      <c r="N13" s="40"/>
      <c r="O13" s="243"/>
    </row>
    <row r="14" spans="1:15" ht="21.6" customHeight="1" thickBot="1" x14ac:dyDescent="0.3">
      <c r="A14" s="242"/>
      <c r="B14" s="327"/>
      <c r="C14" s="328"/>
      <c r="D14" s="328"/>
      <c r="E14" s="328"/>
      <c r="F14" s="328"/>
      <c r="G14" s="329"/>
      <c r="H14" s="332" t="s">
        <v>156</v>
      </c>
      <c r="I14" s="333"/>
      <c r="J14" s="38">
        <v>10</v>
      </c>
      <c r="K14" s="199"/>
      <c r="L14" s="199">
        <v>2019</v>
      </c>
      <c r="M14" s="199"/>
      <c r="N14" s="40"/>
      <c r="O14" s="243"/>
    </row>
    <row r="15" spans="1:15" ht="19.5" thickTop="1" thickBot="1" x14ac:dyDescent="0.3">
      <c r="A15" s="242"/>
      <c r="B15" s="40"/>
      <c r="C15" s="40"/>
      <c r="D15" s="40"/>
      <c r="E15" s="40"/>
      <c r="F15" s="40"/>
      <c r="G15" s="40"/>
      <c r="H15" s="40"/>
      <c r="I15" s="40"/>
      <c r="J15" s="40"/>
      <c r="K15" s="199"/>
      <c r="L15" s="199">
        <v>2020</v>
      </c>
      <c r="M15" s="199"/>
      <c r="N15" s="40"/>
      <c r="O15" s="243"/>
    </row>
    <row r="16" spans="1:15" ht="37.15" customHeight="1" thickTop="1" thickBot="1" x14ac:dyDescent="0.3">
      <c r="A16" s="242"/>
      <c r="B16" s="318" t="s">
        <v>166</v>
      </c>
      <c r="C16" s="319"/>
      <c r="D16" s="319"/>
      <c r="E16" s="319"/>
      <c r="F16" s="319"/>
      <c r="G16" s="319"/>
      <c r="H16" s="319"/>
      <c r="I16" s="320"/>
      <c r="J16" s="158">
        <v>43905</v>
      </c>
      <c r="K16" s="199"/>
      <c r="L16" s="199">
        <v>2021</v>
      </c>
      <c r="M16" s="199"/>
      <c r="N16" s="40"/>
      <c r="O16" s="243"/>
    </row>
    <row r="17" spans="1:15" ht="19.5" thickTop="1" thickBot="1" x14ac:dyDescent="0.3">
      <c r="A17" s="242"/>
      <c r="B17" s="40"/>
      <c r="C17" s="40"/>
      <c r="D17" s="40"/>
      <c r="E17" s="40"/>
      <c r="F17" s="40"/>
      <c r="G17" s="40"/>
      <c r="H17" s="40"/>
      <c r="I17" s="40"/>
      <c r="J17" s="40"/>
      <c r="K17" s="40"/>
      <c r="L17" s="40"/>
      <c r="M17" s="40"/>
      <c r="N17" s="40"/>
      <c r="O17" s="243"/>
    </row>
    <row r="18" spans="1:15" ht="22.9" customHeight="1" thickTop="1" thickBot="1" x14ac:dyDescent="0.3">
      <c r="A18" s="241">
        <v>4</v>
      </c>
      <c r="B18" s="324" t="s">
        <v>157</v>
      </c>
      <c r="C18" s="325"/>
      <c r="D18" s="325"/>
      <c r="E18" s="325"/>
      <c r="F18" s="325"/>
      <c r="G18" s="326"/>
      <c r="H18" s="340" t="s">
        <v>9</v>
      </c>
      <c r="I18" s="341"/>
      <c r="J18" s="256">
        <v>0</v>
      </c>
      <c r="K18" s="40"/>
      <c r="L18" s="40"/>
      <c r="M18" s="40"/>
      <c r="N18" s="40"/>
      <c r="O18" s="243"/>
    </row>
    <row r="19" spans="1:15" ht="22.9" customHeight="1" thickTop="1" thickBot="1" x14ac:dyDescent="0.3">
      <c r="A19" s="242"/>
      <c r="B19" s="327"/>
      <c r="C19" s="328"/>
      <c r="D19" s="328"/>
      <c r="E19" s="328"/>
      <c r="F19" s="328"/>
      <c r="G19" s="329"/>
      <c r="H19" s="342" t="s">
        <v>10</v>
      </c>
      <c r="I19" s="343"/>
      <c r="J19" s="256">
        <v>0</v>
      </c>
      <c r="K19" s="40"/>
      <c r="L19" s="40"/>
      <c r="M19" s="40"/>
      <c r="N19" s="40"/>
      <c r="O19" s="243"/>
    </row>
    <row r="20" spans="1:15" ht="22.9" customHeight="1" thickTop="1" thickBot="1" x14ac:dyDescent="0.3">
      <c r="A20" s="245"/>
      <c r="B20" s="40"/>
      <c r="C20" s="40"/>
      <c r="D20" s="40"/>
      <c r="E20" s="40"/>
      <c r="F20" s="40"/>
      <c r="G20" s="40"/>
      <c r="H20" s="342" t="s">
        <v>30</v>
      </c>
      <c r="I20" s="343"/>
      <c r="J20" s="256">
        <v>0</v>
      </c>
      <c r="K20" s="40"/>
      <c r="L20" s="40"/>
      <c r="M20" s="40"/>
      <c r="N20" s="40"/>
      <c r="O20" s="243"/>
    </row>
    <row r="21" spans="1:15" ht="22.9" customHeight="1" thickTop="1" x14ac:dyDescent="0.25">
      <c r="A21" s="245"/>
      <c r="B21" s="40"/>
      <c r="C21" s="40"/>
      <c r="D21" s="40"/>
      <c r="E21" s="40"/>
      <c r="F21" s="40"/>
      <c r="G21" s="40"/>
      <c r="H21" s="342" t="s">
        <v>31</v>
      </c>
      <c r="I21" s="343"/>
      <c r="J21" s="256">
        <v>0</v>
      </c>
      <c r="K21" s="40"/>
      <c r="L21" s="40"/>
      <c r="M21" s="40"/>
      <c r="N21" s="40"/>
      <c r="O21" s="243"/>
    </row>
    <row r="22" spans="1:15" ht="18.75" thickBot="1" x14ac:dyDescent="0.3">
      <c r="A22" s="237"/>
      <c r="B22" s="200"/>
      <c r="C22" s="200"/>
      <c r="D22" s="200"/>
      <c r="E22" s="200"/>
      <c r="F22" s="200"/>
      <c r="G22" s="200"/>
      <c r="H22" s="200"/>
      <c r="I22" s="200"/>
      <c r="J22" s="200"/>
      <c r="K22" s="200"/>
      <c r="L22" s="200"/>
      <c r="M22" s="200"/>
      <c r="N22" s="200"/>
      <c r="O22" s="207"/>
    </row>
    <row r="23" spans="1:15" ht="25.9" customHeight="1" thickTop="1" thickBot="1" x14ac:dyDescent="0.35">
      <c r="A23" s="246"/>
      <c r="B23" s="247"/>
      <c r="C23" s="247"/>
      <c r="D23" s="344" t="s">
        <v>158</v>
      </c>
      <c r="E23" s="344"/>
      <c r="F23" s="344"/>
      <c r="G23" s="344"/>
      <c r="H23" s="344"/>
      <c r="I23" s="375"/>
      <c r="J23" s="41" t="str">
        <f>IFERROR(IF(C55&lt;B54,SUM(P100,P101),SUM(B100,B101)),"")</f>
        <v/>
      </c>
      <c r="K23" s="201"/>
      <c r="L23" s="201"/>
      <c r="M23" s="201"/>
      <c r="N23" s="201"/>
      <c r="O23" s="248"/>
    </row>
    <row r="24" spans="1:15" ht="25.9" customHeight="1" thickTop="1" thickBot="1" x14ac:dyDescent="0.4">
      <c r="A24" s="249"/>
      <c r="B24" s="205"/>
      <c r="C24" s="205"/>
      <c r="D24" s="205"/>
      <c r="E24" s="205"/>
      <c r="F24" s="205"/>
      <c r="G24" s="205"/>
      <c r="H24" s="205"/>
      <c r="I24" s="205"/>
      <c r="J24" s="1"/>
      <c r="K24" s="206"/>
      <c r="L24" s="206"/>
      <c r="M24" s="206"/>
      <c r="N24" s="206"/>
      <c r="O24" s="207"/>
    </row>
    <row r="25" spans="1:15" ht="25.9" customHeight="1" thickTop="1" x14ac:dyDescent="0.4">
      <c r="A25" s="246"/>
      <c r="B25" s="345" t="s">
        <v>159</v>
      </c>
      <c r="C25" s="345"/>
      <c r="D25" s="345"/>
      <c r="E25" s="345"/>
      <c r="F25" s="345"/>
      <c r="G25" s="345"/>
      <c r="H25" s="345"/>
      <c r="I25" s="345"/>
      <c r="J25" s="345"/>
      <c r="K25" s="345"/>
      <c r="L25" s="345"/>
      <c r="M25" s="345"/>
      <c r="N25" s="345"/>
      <c r="O25" s="208"/>
    </row>
    <row r="26" spans="1:15" ht="25.9" customHeight="1" x14ac:dyDescent="0.4">
      <c r="A26" s="246"/>
      <c r="B26" s="209"/>
      <c r="C26" s="209"/>
      <c r="D26" s="209"/>
      <c r="E26" s="209"/>
      <c r="F26" s="209"/>
      <c r="G26" s="209"/>
      <c r="H26" s="209"/>
      <c r="I26" s="209"/>
      <c r="J26" s="209"/>
      <c r="K26" s="209"/>
      <c r="L26" s="209"/>
      <c r="M26" s="209"/>
      <c r="N26" s="209"/>
      <c r="O26" s="210"/>
    </row>
    <row r="27" spans="1:15" ht="35.450000000000003" customHeight="1" x14ac:dyDescent="0.35">
      <c r="A27" s="42"/>
      <c r="B27" s="374">
        <v>43230</v>
      </c>
      <c r="C27" s="374"/>
      <c r="D27" s="356" t="s">
        <v>160</v>
      </c>
      <c r="E27" s="357"/>
      <c r="F27" s="357"/>
      <c r="G27" s="357"/>
      <c r="H27" s="358" t="e">
        <f>IF($C$55&lt;$B$54,V54,H54)</f>
        <v>#VALUE!</v>
      </c>
      <c r="I27" s="358"/>
      <c r="J27" s="355"/>
      <c r="K27" s="355"/>
      <c r="L27" s="355"/>
      <c r="M27" s="355"/>
      <c r="N27" s="211"/>
      <c r="O27" s="4"/>
    </row>
    <row r="28" spans="1:15" ht="30.6" customHeight="1" x14ac:dyDescent="0.25">
      <c r="A28" s="43"/>
      <c r="B28" s="348" t="str">
        <f>IF($C$55&lt;$B$54,O55,A55)</f>
        <v>Date d'anniversaire</v>
      </c>
      <c r="C28" s="348"/>
      <c r="D28" s="182">
        <f t="shared" ref="D28" si="2">IF($C$55&lt;$B$54,Q55,C55)</f>
        <v>43079</v>
      </c>
      <c r="E28" s="349" t="e">
        <f>IF($C$55&lt;$B$54,S55,E55)</f>
        <v>#NUM!</v>
      </c>
      <c r="F28" s="349"/>
      <c r="G28" s="349"/>
      <c r="H28" s="359" t="e">
        <f>IF($C$55&lt;$B$54,V55,H55)</f>
        <v>#VALUE!</v>
      </c>
      <c r="I28" s="359"/>
      <c r="J28" s="5"/>
      <c r="K28" s="5"/>
      <c r="L28" s="6"/>
      <c r="M28" s="5"/>
      <c r="N28" s="212"/>
      <c r="O28" s="7"/>
    </row>
    <row r="29" spans="1:15" ht="15" customHeight="1" x14ac:dyDescent="0.25">
      <c r="A29" s="43"/>
      <c r="B29" s="49"/>
      <c r="C29" s="49"/>
      <c r="D29" s="47"/>
      <c r="E29" s="51"/>
      <c r="F29" s="51"/>
      <c r="G29" s="51"/>
      <c r="H29" s="56"/>
      <c r="I29" s="56"/>
      <c r="J29" s="5"/>
      <c r="K29" s="5"/>
      <c r="L29" s="6"/>
      <c r="M29" s="5"/>
      <c r="N29" s="212"/>
      <c r="O29" s="7"/>
    </row>
    <row r="30" spans="1:15" ht="30.6" customHeight="1" x14ac:dyDescent="0.25">
      <c r="A30" s="43"/>
      <c r="B30" s="348" t="str">
        <f>IF($C$55&lt;$B$54,O56,A56)</f>
        <v>Rendement semestriel</v>
      </c>
      <c r="C30" s="348"/>
      <c r="D30" s="182">
        <f t="shared" ref="D30" si="3">IF($C$55&lt;$B$54,Q56,C56)</f>
        <v>43261</v>
      </c>
      <c r="E30" s="349" t="e">
        <f>IF($C$55&lt;$B$54,S56,E56)</f>
        <v>#NUM!</v>
      </c>
      <c r="F30" s="349"/>
      <c r="G30" s="349"/>
      <c r="H30" s="359" t="e">
        <f>IF($C$55&lt;$B$54,V56,H56)</f>
        <v>#VALUE!</v>
      </c>
      <c r="I30" s="359"/>
      <c r="J30" s="5"/>
      <c r="K30" s="5"/>
      <c r="L30" s="6"/>
      <c r="M30" s="5"/>
      <c r="N30" s="212"/>
      <c r="O30" s="7"/>
    </row>
    <row r="31" spans="1:15" ht="28.9" customHeight="1" x14ac:dyDescent="0.35">
      <c r="A31" s="42"/>
      <c r="B31" s="362"/>
      <c r="C31" s="362"/>
      <c r="D31" s="47"/>
      <c r="E31" s="373"/>
      <c r="F31" s="373"/>
      <c r="G31" s="373"/>
      <c r="H31" s="48" t="e">
        <f>IF($C$55&lt;$B$54,V57,H57)</f>
        <v>#NUM!</v>
      </c>
      <c r="I31" s="346" t="e">
        <f>IF($C$55&lt;$B$54,W57,I57)</f>
        <v>#NUM!</v>
      </c>
      <c r="J31" s="346"/>
      <c r="K31" s="213"/>
      <c r="L31" s="11"/>
      <c r="M31" s="11"/>
      <c r="N31" s="211"/>
      <c r="O31" s="4"/>
    </row>
    <row r="32" spans="1:15" ht="35.450000000000003" customHeight="1" x14ac:dyDescent="0.35">
      <c r="A32" s="42"/>
      <c r="B32" s="374">
        <v>43595</v>
      </c>
      <c r="C32" s="374"/>
      <c r="D32" s="356" t="s">
        <v>161</v>
      </c>
      <c r="E32" s="357"/>
      <c r="F32" s="357"/>
      <c r="G32" s="357"/>
      <c r="H32" s="358" t="e">
        <f>IF($C$55&lt;$B$54,V58,H58)</f>
        <v>#VALUE!</v>
      </c>
      <c r="I32" s="358"/>
      <c r="J32" s="5"/>
      <c r="K32" s="5"/>
      <c r="L32" s="5"/>
      <c r="M32" s="5"/>
      <c r="N32" s="211"/>
      <c r="O32" s="4"/>
    </row>
    <row r="33" spans="1:15" ht="30.6" customHeight="1" x14ac:dyDescent="0.35">
      <c r="A33" s="246"/>
      <c r="B33" s="348" t="str">
        <f>IF($C$55&lt;$B$54,O59,A59)</f>
        <v>Date d'anniversaire</v>
      </c>
      <c r="C33" s="348"/>
      <c r="D33" s="182">
        <f t="shared" ref="D33" si="4">IF($C$55&lt;$B$54,Q59,C59)</f>
        <v>43444</v>
      </c>
      <c r="E33" s="349" t="e">
        <f>IF($C$55&lt;$B$54,S59,#REF!)</f>
        <v>#NUM!</v>
      </c>
      <c r="F33" s="349"/>
      <c r="G33" s="349"/>
      <c r="H33" s="359" t="e">
        <f>IF($C$55&lt;$B$54,V59,H59)</f>
        <v>#VALUE!</v>
      </c>
      <c r="I33" s="359"/>
      <c r="J33" s="5"/>
      <c r="K33" s="5"/>
      <c r="L33" s="5"/>
      <c r="M33" s="5"/>
      <c r="N33" s="211"/>
      <c r="O33" s="4"/>
    </row>
    <row r="34" spans="1:15" ht="15" customHeight="1" x14ac:dyDescent="0.35">
      <c r="A34" s="246"/>
      <c r="B34" s="49"/>
      <c r="C34" s="49"/>
      <c r="D34" s="47"/>
      <c r="E34" s="51"/>
      <c r="F34" s="51"/>
      <c r="G34" s="51"/>
      <c r="H34" s="56"/>
      <c r="I34" s="56"/>
      <c r="J34" s="5"/>
      <c r="K34" s="5"/>
      <c r="L34" s="5"/>
      <c r="M34" s="5"/>
      <c r="N34" s="211"/>
      <c r="O34" s="4"/>
    </row>
    <row r="35" spans="1:15" ht="30.6" customHeight="1" x14ac:dyDescent="0.35">
      <c r="A35" s="246"/>
      <c r="B35" s="348" t="str">
        <f>IF($C$55&lt;$B$54,O60,A60)</f>
        <v>Rendement semestriel</v>
      </c>
      <c r="C35" s="348"/>
      <c r="D35" s="182">
        <f t="shared" ref="D35" si="5">IF($C$55&lt;$B$54,Q60,C60)</f>
        <v>43626</v>
      </c>
      <c r="E35" s="349" t="e">
        <f>IF($C$55&lt;$B$54,S60,E60)</f>
        <v>#NUM!</v>
      </c>
      <c r="F35" s="349"/>
      <c r="G35" s="349"/>
      <c r="H35" s="359" t="e">
        <f>IF($C$55&lt;$B$54,V60,H60)</f>
        <v>#VALUE!</v>
      </c>
      <c r="I35" s="359"/>
      <c r="J35" s="5"/>
      <c r="K35" s="5"/>
      <c r="L35" s="5"/>
      <c r="M35" s="5"/>
      <c r="N35" s="211"/>
      <c r="O35" s="4"/>
    </row>
    <row r="36" spans="1:15" ht="28.9" customHeight="1" x14ac:dyDescent="0.35">
      <c r="A36" s="42"/>
      <c r="B36" s="16"/>
      <c r="C36" s="16"/>
      <c r="D36" s="17"/>
      <c r="E36" s="17"/>
      <c r="F36" s="17"/>
      <c r="G36" s="17"/>
      <c r="H36" s="48" t="e">
        <f>IF($C$55&lt;$B$54,V61,H61)</f>
        <v>#NUM!</v>
      </c>
      <c r="I36" s="346" t="e">
        <f>IF($C$55&lt;$B$54,W61,I61)</f>
        <v>#NUM!</v>
      </c>
      <c r="J36" s="346"/>
      <c r="K36" s="17"/>
      <c r="L36" s="53"/>
      <c r="M36" s="53"/>
      <c r="N36" s="211"/>
      <c r="O36" s="4"/>
    </row>
    <row r="37" spans="1:15" ht="29.45" customHeight="1" x14ac:dyDescent="0.35">
      <c r="A37" s="42"/>
      <c r="B37" s="374">
        <v>43961</v>
      </c>
      <c r="C37" s="374"/>
      <c r="D37" s="357" t="s">
        <v>162</v>
      </c>
      <c r="E37" s="357"/>
      <c r="F37" s="357"/>
      <c r="G37" s="357"/>
      <c r="H37" s="358" t="e">
        <f>IF($C$55&lt;$B$54,V62,H62)</f>
        <v>#VALUE!</v>
      </c>
      <c r="I37" s="358"/>
      <c r="J37" s="5"/>
      <c r="K37" s="5"/>
      <c r="L37" s="5"/>
      <c r="M37" s="5"/>
      <c r="N37" s="211"/>
      <c r="O37" s="4"/>
    </row>
    <row r="38" spans="1:15" ht="30.6" customHeight="1" x14ac:dyDescent="0.25">
      <c r="A38" s="246"/>
      <c r="B38" s="348" t="str">
        <f>IF($C$55&lt;$B$54,O63,A63)</f>
        <v>Date d'anniversaire</v>
      </c>
      <c r="C38" s="348"/>
      <c r="D38" s="182">
        <f>IF($C$55&lt;$B$54,Q63,C63)</f>
        <v>43809</v>
      </c>
      <c r="E38" s="349" t="e">
        <f>IF($C$55&lt;$B$54,S63,E63)</f>
        <v>#NUM!</v>
      </c>
      <c r="F38" s="349"/>
      <c r="G38" s="349"/>
      <c r="H38" s="359" t="e">
        <f>IF($C$55&lt;$B$54,V63,H63)</f>
        <v>#VALUE!</v>
      </c>
      <c r="I38" s="359"/>
      <c r="J38" s="355"/>
      <c r="K38" s="355"/>
      <c r="L38" s="355"/>
      <c r="M38" s="355"/>
      <c r="N38" s="211"/>
      <c r="O38" s="7"/>
    </row>
    <row r="39" spans="1:15" ht="15" customHeight="1" x14ac:dyDescent="0.25">
      <c r="A39" s="246"/>
      <c r="B39" s="49"/>
      <c r="C39" s="49"/>
      <c r="D39" s="47"/>
      <c r="E39" s="51"/>
      <c r="F39" s="51"/>
      <c r="G39" s="51"/>
      <c r="H39" s="56"/>
      <c r="I39" s="56"/>
      <c r="J39" s="52"/>
      <c r="K39" s="52"/>
      <c r="L39" s="52"/>
      <c r="M39" s="52"/>
      <c r="N39" s="211"/>
      <c r="O39" s="7"/>
    </row>
    <row r="40" spans="1:15" ht="30.6" customHeight="1" x14ac:dyDescent="0.25">
      <c r="A40" s="246"/>
      <c r="B40" s="348" t="str">
        <f>IF($C$55&lt;$B$54,O64,A64)</f>
        <v>Rendement semestriel</v>
      </c>
      <c r="C40" s="348"/>
      <c r="D40" s="182">
        <f>IF($C$55&lt;$B$54,Q64,C64)</f>
        <v>43992</v>
      </c>
      <c r="E40" s="349" t="e">
        <f>IF($C$55&lt;$B$54,S64,E64)</f>
        <v>#NUM!</v>
      </c>
      <c r="F40" s="349"/>
      <c r="G40" s="349"/>
      <c r="H40" s="359" t="e">
        <f>IF($C$55&lt;$B$54,V64,H64)</f>
        <v>#VALUE!</v>
      </c>
      <c r="I40" s="359"/>
      <c r="J40" s="52"/>
      <c r="K40" s="52"/>
      <c r="L40" s="52"/>
      <c r="M40" s="52"/>
      <c r="N40" s="211"/>
      <c r="O40" s="7"/>
    </row>
    <row r="41" spans="1:15" ht="28.9" customHeight="1" x14ac:dyDescent="0.35">
      <c r="A41" s="42"/>
      <c r="B41" s="5"/>
      <c r="C41" s="10"/>
      <c r="D41" s="17"/>
      <c r="E41" s="17"/>
      <c r="F41" s="17"/>
      <c r="G41" s="17"/>
      <c r="H41" s="48" t="e">
        <f>IF($C$55&lt;$B$54,V65,H65)</f>
        <v>#NUM!</v>
      </c>
      <c r="I41" s="346" t="e">
        <f>IF($C$55&lt;$B$54,W65,I65)</f>
        <v>#NUM!</v>
      </c>
      <c r="J41" s="346"/>
      <c r="K41" s="17"/>
      <c r="L41" s="20"/>
      <c r="M41" s="20"/>
      <c r="N41" s="211"/>
      <c r="O41" s="4"/>
    </row>
    <row r="42" spans="1:15" ht="25.9" customHeight="1" x14ac:dyDescent="0.35">
      <c r="A42" s="42"/>
      <c r="B42" s="374">
        <v>44326</v>
      </c>
      <c r="C42" s="374"/>
      <c r="D42" s="357" t="s">
        <v>162</v>
      </c>
      <c r="E42" s="357"/>
      <c r="F42" s="357"/>
      <c r="G42" s="357"/>
      <c r="H42" s="358" t="e">
        <f>IF($C$55&lt;$B$54,V66,H66)</f>
        <v>#VALUE!</v>
      </c>
      <c r="I42" s="358"/>
      <c r="J42" s="5"/>
      <c r="K42" s="5"/>
      <c r="L42" s="5"/>
      <c r="M42" s="5"/>
      <c r="N42" s="211"/>
      <c r="O42" s="4"/>
    </row>
    <row r="43" spans="1:15" ht="25.9" customHeight="1" x14ac:dyDescent="0.25">
      <c r="A43" s="246"/>
      <c r="B43" s="348" t="str">
        <f>IF($C$55&lt;$B$54,O67,A67)</f>
        <v>Date d'anniversaire</v>
      </c>
      <c r="C43" s="348"/>
      <c r="D43" s="182">
        <f>IF($C$55&lt;$B$54,Q67,C67)</f>
        <v>44175</v>
      </c>
      <c r="E43" s="349" t="e">
        <f>IF($C$55&lt;$B$54,S67,E67)</f>
        <v>#NUM!</v>
      </c>
      <c r="F43" s="349"/>
      <c r="G43" s="349"/>
      <c r="H43" s="359" t="e">
        <f>IF($C$55&lt;$B$54,V67,H67)</f>
        <v>#VALUE!</v>
      </c>
      <c r="I43" s="359"/>
      <c r="J43" s="5"/>
      <c r="K43" s="5"/>
      <c r="L43" s="5"/>
      <c r="M43" s="5"/>
      <c r="N43" s="211"/>
      <c r="O43" s="7"/>
    </row>
    <row r="44" spans="1:15" ht="15" customHeight="1" x14ac:dyDescent="0.25">
      <c r="A44" s="246"/>
      <c r="B44" s="49"/>
      <c r="C44" s="49"/>
      <c r="D44" s="47"/>
      <c r="E44" s="51"/>
      <c r="F44" s="51"/>
      <c r="G44" s="51"/>
      <c r="H44" s="56"/>
      <c r="I44" s="56"/>
      <c r="J44" s="5"/>
      <c r="K44" s="5"/>
      <c r="L44" s="5"/>
      <c r="M44" s="5"/>
      <c r="N44" s="211"/>
      <c r="O44" s="7"/>
    </row>
    <row r="45" spans="1:15" ht="33" customHeight="1" x14ac:dyDescent="0.25">
      <c r="A45" s="246"/>
      <c r="B45" s="348" t="str">
        <f>IF($C$55&lt;$B$54,O68,A68)</f>
        <v>Rendement semestriel</v>
      </c>
      <c r="C45" s="348"/>
      <c r="D45" s="182">
        <f>IF($C$55&lt;$B$54,Q68,C68)</f>
        <v>44357</v>
      </c>
      <c r="E45" s="349" t="e">
        <f>IF($C$55&lt;$B$54,S68,E68)</f>
        <v>#NUM!</v>
      </c>
      <c r="F45" s="349"/>
      <c r="G45" s="349"/>
      <c r="H45" s="359" t="e">
        <f>IF($C$55&lt;$B$54,V68,H68)</f>
        <v>#VALUE!</v>
      </c>
      <c r="I45" s="359"/>
      <c r="J45" s="5"/>
      <c r="K45" s="5"/>
      <c r="L45" s="5"/>
      <c r="M45" s="5"/>
      <c r="N45" s="211"/>
      <c r="O45" s="7"/>
    </row>
    <row r="46" spans="1:15" ht="28.9" customHeight="1" x14ac:dyDescent="0.25">
      <c r="A46" s="44"/>
      <c r="B46" s="5"/>
      <c r="C46" s="10"/>
      <c r="D46" s="17"/>
      <c r="E46" s="17"/>
      <c r="F46" s="17"/>
      <c r="G46" s="17"/>
      <c r="H46" s="48" t="e">
        <f>IF($C$55&lt;$B$54,V69,H69)</f>
        <v>#NUM!</v>
      </c>
      <c r="I46" s="346" t="e">
        <f>IF($C$55&lt;$B$54,W69,I69)</f>
        <v>#NUM!</v>
      </c>
      <c r="J46" s="346"/>
      <c r="K46" s="17"/>
      <c r="L46" s="24"/>
      <c r="M46" s="24"/>
      <c r="N46" s="211"/>
      <c r="O46" s="25"/>
    </row>
    <row r="47" spans="1:15" ht="25.9" customHeight="1" x14ac:dyDescent="0.25">
      <c r="A47" s="44"/>
      <c r="B47" s="374">
        <v>44690</v>
      </c>
      <c r="C47" s="374"/>
      <c r="D47" s="372" t="s">
        <v>163</v>
      </c>
      <c r="E47" s="372"/>
      <c r="F47" s="372"/>
      <c r="G47" s="372"/>
      <c r="H47" s="372"/>
      <c r="I47" s="372"/>
      <c r="J47" s="53"/>
      <c r="K47" s="24"/>
      <c r="L47" s="24"/>
      <c r="M47" s="24"/>
      <c r="N47" s="211"/>
      <c r="O47" s="25"/>
    </row>
    <row r="48" spans="1:15" ht="16.149999999999999" customHeight="1" x14ac:dyDescent="0.25">
      <c r="A48" s="44"/>
      <c r="B48" s="30"/>
      <c r="C48" s="30"/>
      <c r="D48" s="31"/>
      <c r="E48" s="31"/>
      <c r="F48" s="31"/>
      <c r="G48" s="31"/>
      <c r="H48" s="53"/>
      <c r="I48" s="53"/>
      <c r="J48" s="53"/>
      <c r="K48" s="24"/>
      <c r="L48" s="24"/>
      <c r="M48" s="24"/>
      <c r="N48" s="211"/>
      <c r="O48" s="25"/>
    </row>
    <row r="49" spans="1:27" s="250" customFormat="1" ht="14.45" customHeight="1" thickBot="1" x14ac:dyDescent="0.25">
      <c r="A49" s="45"/>
      <c r="B49" s="32"/>
      <c r="C49" s="32"/>
      <c r="D49" s="32"/>
      <c r="E49" s="32"/>
      <c r="F49" s="32"/>
      <c r="G49" s="32"/>
      <c r="H49" s="32"/>
      <c r="I49" s="32"/>
      <c r="J49" s="32"/>
      <c r="K49" s="32"/>
      <c r="L49" s="32"/>
      <c r="M49" s="32"/>
      <c r="N49" s="32"/>
      <c r="O49" s="33"/>
      <c r="P49" s="55"/>
      <c r="Q49" s="55"/>
      <c r="R49" s="29"/>
      <c r="S49" s="29"/>
      <c r="T49" s="27"/>
      <c r="U49" s="12"/>
      <c r="V49" s="54"/>
      <c r="W49" s="54"/>
      <c r="X49" s="54"/>
      <c r="Y49" s="28"/>
      <c r="Z49" s="28"/>
      <c r="AA49" s="28"/>
    </row>
    <row r="50" spans="1:27" s="250" customFormat="1" ht="96" customHeight="1" thickBot="1" x14ac:dyDescent="0.3">
      <c r="A50" s="246"/>
      <c r="B50" s="338" t="s">
        <v>164</v>
      </c>
      <c r="C50" s="339"/>
      <c r="D50" s="339"/>
      <c r="E50" s="339"/>
      <c r="F50" s="339"/>
      <c r="G50" s="339"/>
      <c r="H50" s="339"/>
      <c r="I50" s="339"/>
      <c r="J50" s="339"/>
      <c r="K50" s="339"/>
      <c r="L50" s="339"/>
      <c r="M50" s="339"/>
      <c r="N50" s="339"/>
      <c r="O50" s="214"/>
      <c r="P50" s="34"/>
      <c r="Q50" s="8"/>
      <c r="R50" s="251"/>
      <c r="S50" s="8"/>
      <c r="T50" s="8"/>
      <c r="U50" s="8"/>
      <c r="V50" s="8"/>
      <c r="W50" s="8"/>
      <c r="X50" s="8"/>
      <c r="Y50" s="8"/>
      <c r="Z50" s="8"/>
      <c r="AA50" s="8"/>
    </row>
    <row r="51" spans="1:27" s="252" customFormat="1" x14ac:dyDescent="0.25">
      <c r="A51" s="215"/>
      <c r="B51" s="215"/>
      <c r="C51" s="215"/>
      <c r="D51" s="215"/>
      <c r="E51" s="215"/>
      <c r="F51" s="215"/>
      <c r="G51" s="215"/>
      <c r="H51" s="215"/>
      <c r="I51" s="215"/>
      <c r="J51" s="215"/>
      <c r="K51" s="215"/>
      <c r="L51" s="215"/>
      <c r="M51" s="215"/>
      <c r="N51" s="215"/>
      <c r="O51" s="215"/>
      <c r="P51" s="116"/>
      <c r="Q51" s="116"/>
      <c r="R51" s="116"/>
      <c r="S51" s="116"/>
      <c r="T51" s="116"/>
      <c r="U51" s="116"/>
      <c r="V51" s="116"/>
      <c r="W51" s="116"/>
      <c r="X51" s="116"/>
      <c r="Y51" s="116"/>
      <c r="Z51" s="116"/>
      <c r="AA51" s="116"/>
    </row>
    <row r="52" spans="1:27" ht="26.25" x14ac:dyDescent="0.4">
      <c r="A52" s="59" t="s">
        <v>83</v>
      </c>
      <c r="B52" s="59"/>
      <c r="C52" s="60"/>
      <c r="D52" s="61"/>
      <c r="E52" s="61"/>
      <c r="F52" s="61"/>
      <c r="G52" s="61"/>
      <c r="H52" s="62"/>
      <c r="I52" s="59"/>
      <c r="J52" s="61"/>
      <c r="K52" s="61"/>
      <c r="L52" s="61"/>
      <c r="M52" s="61"/>
      <c r="N52" s="59"/>
      <c r="O52" s="59" t="s">
        <v>82</v>
      </c>
      <c r="P52" s="116"/>
      <c r="Q52" s="116"/>
      <c r="R52" s="116"/>
      <c r="S52" s="116"/>
      <c r="T52" s="116"/>
      <c r="U52" s="116"/>
      <c r="V52" s="116"/>
      <c r="W52" s="116"/>
      <c r="X52" s="116"/>
      <c r="Y52" s="116"/>
      <c r="Z52" s="116"/>
      <c r="AA52" s="116"/>
    </row>
    <row r="53" spans="1:27" ht="21" x14ac:dyDescent="0.35">
      <c r="A53" s="63" t="s">
        <v>76</v>
      </c>
      <c r="B53" s="64"/>
      <c r="C53" s="64"/>
      <c r="D53" s="64"/>
      <c r="E53" s="65"/>
      <c r="F53" s="65"/>
      <c r="G53" s="65"/>
      <c r="H53" s="66"/>
      <c r="I53" s="66"/>
      <c r="J53" s="66"/>
      <c r="K53" s="66"/>
      <c r="L53" s="66"/>
      <c r="M53" s="66"/>
      <c r="N53" s="116"/>
      <c r="O53" s="63" t="s">
        <v>76</v>
      </c>
      <c r="P53" s="64"/>
      <c r="Q53" s="64"/>
      <c r="R53" s="64"/>
      <c r="S53" s="65"/>
      <c r="T53" s="65"/>
      <c r="U53" s="65"/>
      <c r="V53" s="66"/>
      <c r="W53" s="66"/>
      <c r="X53" s="66"/>
      <c r="Y53" s="66"/>
      <c r="Z53" s="66"/>
      <c r="AA53" s="66"/>
    </row>
    <row r="54" spans="1:27" ht="28.5" x14ac:dyDescent="0.45">
      <c r="A54" s="67" t="s">
        <v>11</v>
      </c>
      <c r="B54" s="334">
        <v>43230</v>
      </c>
      <c r="C54" s="334"/>
      <c r="D54" s="335" t="s">
        <v>12</v>
      </c>
      <c r="E54" s="335"/>
      <c r="F54" s="335"/>
      <c r="G54" s="335"/>
      <c r="H54" s="336" t="e">
        <f>SUM(((J11*2%)+J11),((J11*2%)+J11)*0.8%)</f>
        <v>#VALUE!</v>
      </c>
      <c r="I54" s="336"/>
      <c r="J54" s="337"/>
      <c r="K54" s="337"/>
      <c r="L54" s="337"/>
      <c r="M54" s="337"/>
      <c r="N54" s="116"/>
      <c r="O54" s="67" t="s">
        <v>11</v>
      </c>
      <c r="P54" s="334">
        <v>43230</v>
      </c>
      <c r="Q54" s="334"/>
      <c r="R54" s="335" t="s">
        <v>12</v>
      </c>
      <c r="S54" s="335"/>
      <c r="T54" s="335"/>
      <c r="U54" s="335"/>
      <c r="V54" s="336" t="e">
        <f>SUM(((J11*2%)+J11),((J11*2%)+J11)*0.8%)</f>
        <v>#VALUE!</v>
      </c>
      <c r="W54" s="336"/>
      <c r="X54" s="337"/>
      <c r="Y54" s="337"/>
      <c r="Z54" s="337"/>
      <c r="AA54" s="337"/>
    </row>
    <row r="55" spans="1:27" ht="57.6" customHeight="1" x14ac:dyDescent="0.25">
      <c r="A55" s="68" t="s">
        <v>165</v>
      </c>
      <c r="B55" s="116"/>
      <c r="C55" s="69">
        <f>EDATE(C56,-6)</f>
        <v>42896</v>
      </c>
      <c r="D55" s="116"/>
      <c r="E55" s="69"/>
      <c r="F55" s="365" t="e">
        <f>IF(LARGE(LP01_A,1)=H54,"Haut de l’échelon salariale atteint","Augmentation au prochain échelon")</f>
        <v>#NUM!</v>
      </c>
      <c r="G55" s="365"/>
      <c r="H55" s="336" t="e">
        <f>IF(COUNTIF(LP01_A,"&gt;"&amp;H54)&gt;=1,LARGE(LP01_A,COUNTIF(LP01_A,"&gt;"&amp;H54)),H54)</f>
        <v>#VALUE!</v>
      </c>
      <c r="I55" s="336"/>
      <c r="J55" s="116"/>
      <c r="K55" s="116"/>
      <c r="L55" s="66"/>
      <c r="M55" s="66"/>
      <c r="N55" s="116"/>
      <c r="O55" s="334" t="s">
        <v>168</v>
      </c>
      <c r="P55" s="334"/>
      <c r="Q55" s="216">
        <f>DATE(L13,K13,J14)</f>
        <v>43079</v>
      </c>
      <c r="R55" s="64"/>
      <c r="S55" s="369" t="e">
        <f>IF(LARGE(LP01_A,1)=V54,"Haut de l’échelon salariale atteint","Augmentation au prochain échelon")</f>
        <v>#NUM!</v>
      </c>
      <c r="T55" s="369"/>
      <c r="U55" s="369"/>
      <c r="V55" s="336" t="e">
        <f>IF(COUNTIF(LP01_A,"&gt;"&amp;V54)&gt;=1,LARGE(LP01_A,COUNTIF(LP01_A,"&gt;"&amp;V54)),V54)</f>
        <v>#VALUE!</v>
      </c>
      <c r="W55" s="336"/>
      <c r="X55" s="70"/>
      <c r="Y55" s="66"/>
      <c r="Z55" s="66"/>
      <c r="AA55" s="66"/>
    </row>
    <row r="56" spans="1:27" ht="34.15" customHeight="1" x14ac:dyDescent="0.25">
      <c r="A56" s="334" t="s">
        <v>168</v>
      </c>
      <c r="B56" s="334"/>
      <c r="C56" s="217">
        <f>DATE(L13,K13,J14)</f>
        <v>43079</v>
      </c>
      <c r="D56" s="64"/>
      <c r="E56" s="353" t="e">
        <f>IF(LARGE(LP01_A,1)=H55,"Haut de l’échelon salariale atteint","Augmentation au prochain échelon")</f>
        <v>#NUM!</v>
      </c>
      <c r="F56" s="353"/>
      <c r="G56" s="353"/>
      <c r="H56" s="336" t="e">
        <f>IF(COUNTIF(LP01_A,"&gt;"&amp;H55)&gt;=1,LARGE(LP01_A,COUNTIF(LP01_A,"&gt;"&amp;H55)),H55)</f>
        <v>#VALUE!</v>
      </c>
      <c r="I56" s="336"/>
      <c r="J56" s="71"/>
      <c r="K56" s="71"/>
      <c r="L56" s="70"/>
      <c r="M56" s="71"/>
      <c r="N56" s="218"/>
      <c r="O56" s="68" t="s">
        <v>165</v>
      </c>
      <c r="P56" s="116"/>
      <c r="Q56" s="72">
        <f>EDATE(Q55,6)</f>
        <v>43261</v>
      </c>
      <c r="R56" s="116"/>
      <c r="S56" s="73" t="e">
        <f>IF(LARGE(LP01_A,1)=V55,"Haut de l’échelon salariale atteint","Augmentation au prochain échelon")</f>
        <v>#NUM!</v>
      </c>
      <c r="T56" s="73"/>
      <c r="U56" s="73"/>
      <c r="V56" s="336" t="e">
        <f>IF(COUNTIF(LP01_A,"&gt;"&amp;V55)&gt;=1,LARGE(LP01_A,COUNTIF(LP01_A,"&gt;"&amp;V55)),V55)</f>
        <v>#VALUE!</v>
      </c>
      <c r="W56" s="336"/>
      <c r="X56" s="74"/>
      <c r="Y56" s="74"/>
      <c r="Z56" s="70"/>
      <c r="AA56" s="71"/>
    </row>
    <row r="57" spans="1:27" ht="28.9" customHeight="1" x14ac:dyDescent="0.45">
      <c r="A57" s="67"/>
      <c r="B57" s="64"/>
      <c r="C57" s="64"/>
      <c r="D57" s="64"/>
      <c r="E57" s="64"/>
      <c r="F57" s="64"/>
      <c r="G57" s="64"/>
      <c r="H57" s="74" t="e">
        <f>IF(LARGE(LP01_A,1)=H55,SUM(H56*J18),"0")</f>
        <v>#NUM!</v>
      </c>
      <c r="I57" s="354" t="e">
        <f>IF(LARGE(LP01_A,1)=H55,"Prime au rendement","La prime au rendement ne s'applique pas")</f>
        <v>#NUM!</v>
      </c>
      <c r="J57" s="354"/>
      <c r="K57" s="354"/>
      <c r="L57" s="74"/>
      <c r="M57" s="74"/>
      <c r="N57" s="116"/>
      <c r="O57" s="116"/>
      <c r="P57" s="116"/>
      <c r="Q57" s="116"/>
      <c r="R57" s="116"/>
      <c r="S57" s="116"/>
      <c r="T57" s="116"/>
      <c r="U57" s="116"/>
      <c r="V57" s="74" t="e">
        <f>IF(LARGE(LP01_A,1)=V55,SUM(V56*J18),"0")</f>
        <v>#NUM!</v>
      </c>
      <c r="W57" s="75" t="e">
        <f>IF(LARGE(LP01_A,1)=V55,"Prime au rendement","La prime au rendement ne s'applique pas")</f>
        <v>#NUM!</v>
      </c>
      <c r="X57" s="75"/>
      <c r="Y57" s="75"/>
      <c r="Z57" s="74"/>
      <c r="AA57" s="74"/>
    </row>
    <row r="58" spans="1:27" ht="28.9" customHeight="1" x14ac:dyDescent="0.45">
      <c r="A58" s="67" t="s">
        <v>14</v>
      </c>
      <c r="B58" s="352">
        <v>43595</v>
      </c>
      <c r="C58" s="352"/>
      <c r="D58" s="335" t="s">
        <v>15</v>
      </c>
      <c r="E58" s="335"/>
      <c r="F58" s="335"/>
      <c r="G58" s="335"/>
      <c r="H58" s="336" t="e">
        <f>SUM(((H56*2%)+H56),((H56*2%)+H56)*0.2%)</f>
        <v>#VALUE!</v>
      </c>
      <c r="I58" s="336"/>
      <c r="J58" s="66"/>
      <c r="K58" s="66"/>
      <c r="L58" s="66"/>
      <c r="M58" s="66"/>
      <c r="N58" s="116"/>
      <c r="O58" s="67" t="s">
        <v>14</v>
      </c>
      <c r="P58" s="352">
        <v>43595</v>
      </c>
      <c r="Q58" s="352"/>
      <c r="R58" s="365" t="s">
        <v>15</v>
      </c>
      <c r="S58" s="365"/>
      <c r="T58" s="365"/>
      <c r="U58" s="365"/>
      <c r="V58" s="336" t="e">
        <f>SUM(((V56*2%)+V56),((V56*2%)+V56)*0.2%)</f>
        <v>#VALUE!</v>
      </c>
      <c r="W58" s="336"/>
      <c r="X58" s="66"/>
      <c r="Y58" s="66"/>
      <c r="Z58" s="66"/>
      <c r="AA58" s="66"/>
    </row>
    <row r="59" spans="1:27" ht="15.75" x14ac:dyDescent="0.25">
      <c r="A59" s="68" t="s">
        <v>165</v>
      </c>
      <c r="B59" s="116"/>
      <c r="C59" s="69">
        <f>EDATE(C60,-6)</f>
        <v>43261</v>
      </c>
      <c r="D59" s="116"/>
      <c r="E59" s="73" t="e">
        <f>IF(LARGE(LP01_B,1)=H58,"Haut de l’échelon salariale atteint","Augmentation au prochain échelon")</f>
        <v>#NUM!</v>
      </c>
      <c r="F59" s="116"/>
      <c r="G59" s="73"/>
      <c r="H59" s="336" t="e">
        <f>IF(COUNTIF(LP01_B,"&gt;"&amp;H58)&gt;=1,LARGE(LP01_B,COUNTIF(LP01_B,"&gt;"&amp;H58)),H58)</f>
        <v>#VALUE!</v>
      </c>
      <c r="I59" s="336"/>
      <c r="J59" s="66"/>
      <c r="K59" s="66"/>
      <c r="L59" s="66"/>
      <c r="M59" s="66"/>
      <c r="N59" s="116"/>
      <c r="O59" s="334" t="s">
        <v>168</v>
      </c>
      <c r="P59" s="334"/>
      <c r="Q59" s="91">
        <f>DATE(L14,K13,J14)</f>
        <v>43444</v>
      </c>
      <c r="R59" s="64"/>
      <c r="S59" s="365" t="e">
        <f>IF(LARGE(LP01_B,1)=V58,"Haut de l’échelon salariale atteint","Augmentation au prochain échelon")</f>
        <v>#NUM!</v>
      </c>
      <c r="T59" s="365"/>
      <c r="U59" s="365"/>
      <c r="V59" s="336" t="e">
        <f>IF(COUNTIF(LP01_B,"&gt;"&amp;V58)&gt;=1,LARGE(LP01_B,COUNTIF(LP01_B,"&gt;"&amp;V58)),V58)</f>
        <v>#VALUE!</v>
      </c>
      <c r="W59" s="336"/>
      <c r="X59" s="76"/>
      <c r="Y59" s="76"/>
      <c r="Z59" s="66"/>
      <c r="AA59" s="66"/>
    </row>
    <row r="60" spans="1:27" ht="15.75" x14ac:dyDescent="0.25">
      <c r="A60" s="334" t="s">
        <v>168</v>
      </c>
      <c r="B60" s="334"/>
      <c r="C60" s="91">
        <f>DATE(L14,K13,J14)</f>
        <v>43444</v>
      </c>
      <c r="D60" s="64"/>
      <c r="E60" s="77" t="e">
        <f>IF(LARGE(LP01_B,1)=H59,"Haut de l’échelon salariale atteint","Augmentation au prochain échelon")</f>
        <v>#NUM!</v>
      </c>
      <c r="F60" s="77"/>
      <c r="G60" s="77"/>
      <c r="H60" s="336" t="e">
        <f>IF(COUNTIF(LP01_B,"&gt;"&amp;H59)&gt;=1,LARGE(LP01_B,COUNTIF(LP01_B,"&gt;"&amp;H59)),H59)</f>
        <v>#VALUE!</v>
      </c>
      <c r="I60" s="336"/>
      <c r="J60" s="76"/>
      <c r="K60" s="76"/>
      <c r="L60" s="66"/>
      <c r="M60" s="66"/>
      <c r="N60" s="116"/>
      <c r="O60" s="68" t="s">
        <v>165</v>
      </c>
      <c r="P60" s="116"/>
      <c r="Q60" s="69">
        <f>EDATE(Q59,6)</f>
        <v>43626</v>
      </c>
      <c r="R60" s="116"/>
      <c r="S60" s="365" t="e">
        <f>IF(LARGE(LP01_B,1)=V59,"Haut de l’échelon salariale atteint","Augmentation au prochain échelon")</f>
        <v>#NUM!</v>
      </c>
      <c r="T60" s="365"/>
      <c r="U60" s="365"/>
      <c r="V60" s="336" t="e">
        <f>IF(COUNTIF(LP01_B,"&gt;"&amp;V59)&gt;=1,LARGE(LP01_B,COUNTIF(LP01_B,"&gt;"&amp;V59)),V59)</f>
        <v>#VALUE!</v>
      </c>
      <c r="W60" s="336"/>
      <c r="X60" s="116"/>
      <c r="Y60" s="116"/>
      <c r="Z60" s="66"/>
      <c r="AA60" s="66"/>
    </row>
    <row r="61" spans="1:27" ht="28.5" x14ac:dyDescent="0.45">
      <c r="A61" s="67"/>
      <c r="B61" s="64"/>
      <c r="C61" s="64"/>
      <c r="D61" s="64"/>
      <c r="E61" s="65"/>
      <c r="F61" s="65"/>
      <c r="G61" s="78"/>
      <c r="H61" s="81" t="e">
        <f>IF(LARGE(LP01_B,1)=H59,SUM(H60*J19),"0")</f>
        <v>#NUM!</v>
      </c>
      <c r="I61" s="81" t="e">
        <f>IF(LARGE(LP01_B,1)=H59,"Prime au rendement","La prime au rendement ne s'applique pas")</f>
        <v>#NUM!</v>
      </c>
      <c r="J61" s="81"/>
      <c r="K61" s="81"/>
      <c r="L61" s="76"/>
      <c r="M61" s="76"/>
      <c r="N61" s="116"/>
      <c r="O61" s="67"/>
      <c r="P61" s="79"/>
      <c r="Q61" s="79"/>
      <c r="R61" s="80"/>
      <c r="S61" s="80"/>
      <c r="T61" s="80"/>
      <c r="U61" s="80"/>
      <c r="V61" s="81" t="e">
        <f>IF(LARGE(LP01_B,1)=V59,SUM(V60*J19),"0")</f>
        <v>#NUM!</v>
      </c>
      <c r="W61" s="363" t="e">
        <f>IF(LARGE(LP01_B,1)=V59,"Prime au rendement","La prime au rendement ne s'applique pas")</f>
        <v>#NUM!</v>
      </c>
      <c r="X61" s="363"/>
      <c r="Y61" s="363"/>
      <c r="Z61" s="76"/>
      <c r="AA61" s="76"/>
    </row>
    <row r="62" spans="1:27" ht="28.9" customHeight="1" x14ac:dyDescent="0.45">
      <c r="A62" s="67" t="s">
        <v>16</v>
      </c>
      <c r="B62" s="352">
        <v>43961</v>
      </c>
      <c r="C62" s="352"/>
      <c r="D62" s="77" t="s">
        <v>2</v>
      </c>
      <c r="E62" s="77"/>
      <c r="F62" s="77"/>
      <c r="G62" s="77"/>
      <c r="H62" s="336" t="e">
        <f>(H60*1.5%)+H60</f>
        <v>#VALUE!</v>
      </c>
      <c r="I62" s="336"/>
      <c r="J62" s="66"/>
      <c r="K62" s="66"/>
      <c r="L62" s="66"/>
      <c r="M62" s="66"/>
      <c r="N62" s="116"/>
      <c r="O62" s="67" t="s">
        <v>16</v>
      </c>
      <c r="P62" s="352">
        <v>43961</v>
      </c>
      <c r="Q62" s="352"/>
      <c r="R62" s="365" t="s">
        <v>2</v>
      </c>
      <c r="S62" s="365"/>
      <c r="T62" s="365"/>
      <c r="U62" s="365"/>
      <c r="V62" s="364" t="e">
        <f>(V60*1.5%)+V60</f>
        <v>#VALUE!</v>
      </c>
      <c r="W62" s="364"/>
      <c r="X62" s="66"/>
      <c r="Y62" s="66"/>
      <c r="Z62" s="66"/>
      <c r="AA62" s="66"/>
    </row>
    <row r="63" spans="1:27" ht="28.9" customHeight="1" x14ac:dyDescent="0.25">
      <c r="A63" s="68" t="s">
        <v>165</v>
      </c>
      <c r="B63" s="116"/>
      <c r="C63" s="69">
        <f>EDATE(C64,-6)</f>
        <v>43626</v>
      </c>
      <c r="D63" s="116"/>
      <c r="E63" s="73" t="e">
        <f>IF(LARGE(LP01_C,1)=H62,"Haut de l’échelon salariale atteint","Augmentation au prochain échelon")</f>
        <v>#NUM!</v>
      </c>
      <c r="F63" s="116"/>
      <c r="G63" s="73"/>
      <c r="H63" s="336" t="e">
        <f>IF(COUNTIF(LP01_C,"&gt;"&amp;H62)&gt;=1,LARGE(LP01_C,COUNTIF(LP01_C,"&gt;"&amp;H62)),H62)</f>
        <v>#VALUE!</v>
      </c>
      <c r="I63" s="336"/>
      <c r="J63" s="66"/>
      <c r="K63" s="66"/>
      <c r="L63" s="66"/>
      <c r="M63" s="81"/>
      <c r="N63" s="116"/>
      <c r="O63" s="334" t="s">
        <v>168</v>
      </c>
      <c r="P63" s="334"/>
      <c r="Q63" s="91">
        <f>DATE(L15,K13,J14)</f>
        <v>43809</v>
      </c>
      <c r="R63" s="116"/>
      <c r="S63" s="82" t="e">
        <f>IF(LARGE(LP01_C,1)=V62,"Haut de l’échelon salariale atteint","Augmentation au prochain échelon")</f>
        <v>#NUM!</v>
      </c>
      <c r="T63" s="82"/>
      <c r="U63" s="82"/>
      <c r="V63" s="336" t="e">
        <f>IF(COUNTIF(LP01_C,"&gt;"&amp;V62)&gt;=1,LARGE(LP01_C,COUNTIF(LP01_C,"&gt;"&amp;V62)),V62)</f>
        <v>#VALUE!</v>
      </c>
      <c r="W63" s="336"/>
      <c r="X63" s="83"/>
      <c r="Y63" s="83"/>
      <c r="Z63" s="83"/>
      <c r="AA63" s="83"/>
    </row>
    <row r="64" spans="1:27" ht="15.75" x14ac:dyDescent="0.25">
      <c r="A64" s="334" t="s">
        <v>168</v>
      </c>
      <c r="B64" s="334"/>
      <c r="C64" s="91">
        <f>DATE(L15,K13,J14)</f>
        <v>43809</v>
      </c>
      <c r="D64" s="64"/>
      <c r="E64" s="77" t="e">
        <f>IF(LARGE(LP01_C,1)=H63,"Haut de l’échelon salariale atteint","Augmentation au prochain échelon")</f>
        <v>#NUM!</v>
      </c>
      <c r="F64" s="77"/>
      <c r="G64" s="77"/>
      <c r="H64" s="336" t="e">
        <f>IF(COUNTIF(LP01_C,"&gt;"&amp;H63)&gt;=1,LARGE(LP01_C,COUNTIF(LP01_C,"&gt;"&amp;H63)),H63)</f>
        <v>#VALUE!</v>
      </c>
      <c r="I64" s="336"/>
      <c r="J64" s="83"/>
      <c r="K64" s="83"/>
      <c r="L64" s="66"/>
      <c r="M64" s="81"/>
      <c r="N64" s="116"/>
      <c r="O64" s="68" t="s">
        <v>165</v>
      </c>
      <c r="P64" s="116"/>
      <c r="Q64" s="69">
        <f>EDATE(Q63,6)</f>
        <v>43992</v>
      </c>
      <c r="R64" s="116"/>
      <c r="S64" s="365" t="e">
        <f>IF(LARGE(LP01_C,1)=V63,"Haut de l’échelon salariale atteint","Augmentation au prochain échelon")</f>
        <v>#NUM!</v>
      </c>
      <c r="T64" s="365"/>
      <c r="U64" s="365"/>
      <c r="V64" s="336" t="e">
        <f>IF(COUNTIF(LP01_C,"&gt;"&amp;V63)&gt;=1,LARGE(LP01_C,COUNTIF(LP01_C,"&gt;"&amp;V63)),V63)</f>
        <v>#VALUE!</v>
      </c>
      <c r="W64" s="336"/>
      <c r="X64" s="116"/>
      <c r="Y64" s="116"/>
      <c r="Z64" s="84"/>
      <c r="AA64" s="84"/>
    </row>
    <row r="65" spans="1:27" ht="28.5" x14ac:dyDescent="0.45">
      <c r="A65" s="67"/>
      <c r="B65" s="71"/>
      <c r="C65" s="64"/>
      <c r="D65" s="80"/>
      <c r="E65" s="80"/>
      <c r="F65" s="80"/>
      <c r="G65" s="80"/>
      <c r="H65" s="81" t="e">
        <f>IF(LARGE(LP01_C,1)=H63,SUM(H64*J20),"0")</f>
        <v>#NUM!</v>
      </c>
      <c r="I65" s="81" t="e">
        <f>IF(LARGE(LP01_C,1)=H63,"Prime au rendement","La prime au rendement ne s'applique pas")</f>
        <v>#NUM!</v>
      </c>
      <c r="J65" s="81"/>
      <c r="K65" s="81"/>
      <c r="L65" s="83"/>
      <c r="M65" s="66"/>
      <c r="N65" s="116"/>
      <c r="O65" s="116"/>
      <c r="P65" s="116"/>
      <c r="Q65" s="116"/>
      <c r="R65" s="116"/>
      <c r="S65" s="116"/>
      <c r="T65" s="116"/>
      <c r="U65" s="116"/>
      <c r="V65" s="81" t="e">
        <f>IF(LARGE(LP01_C,1)=V63,SUM(V64*J20),"0")</f>
        <v>#NUM!</v>
      </c>
      <c r="W65" s="81" t="e">
        <f>IF(LARGE(LP01_C,1)=V63,"Prime au rendement","La prime au rendement ne s'applique pas")</f>
        <v>#NUM!</v>
      </c>
      <c r="X65" s="81"/>
      <c r="Y65" s="81"/>
      <c r="Z65" s="116"/>
      <c r="AA65" s="116"/>
    </row>
    <row r="66" spans="1:27" ht="28.9" customHeight="1" x14ac:dyDescent="0.45">
      <c r="A66" s="67" t="s">
        <v>17</v>
      </c>
      <c r="B66" s="352">
        <v>44326</v>
      </c>
      <c r="C66" s="352"/>
      <c r="D66" s="77" t="s">
        <v>2</v>
      </c>
      <c r="E66" s="77"/>
      <c r="F66" s="77"/>
      <c r="G66" s="77"/>
      <c r="H66" s="364" t="e">
        <f>(H64*1.5%)+H64</f>
        <v>#VALUE!</v>
      </c>
      <c r="I66" s="364"/>
      <c r="J66" s="66"/>
      <c r="K66" s="66"/>
      <c r="L66" s="84"/>
      <c r="M66" s="66"/>
      <c r="N66" s="116"/>
      <c r="O66" s="67" t="s">
        <v>17</v>
      </c>
      <c r="P66" s="352">
        <v>44326</v>
      </c>
      <c r="Q66" s="352"/>
      <c r="R66" s="335" t="s">
        <v>2</v>
      </c>
      <c r="S66" s="335"/>
      <c r="T66" s="335"/>
      <c r="U66" s="335"/>
      <c r="V66" s="364" t="e">
        <f>(V64*1.5%)+V64</f>
        <v>#VALUE!</v>
      </c>
      <c r="W66" s="336"/>
      <c r="X66" s="66"/>
      <c r="Y66" s="66"/>
      <c r="Z66" s="116"/>
      <c r="AA66" s="116"/>
    </row>
    <row r="67" spans="1:27" ht="15.75" x14ac:dyDescent="0.25">
      <c r="A67" s="68" t="s">
        <v>165</v>
      </c>
      <c r="B67" s="116"/>
      <c r="C67" s="69">
        <f>EDATE(C68,-6)</f>
        <v>43992</v>
      </c>
      <c r="D67" s="116"/>
      <c r="E67" s="73" t="e">
        <f>IF(LARGE(LP01_D,1)=H66,"Haut de l’échelon salariale atteint","Augmentation au prochain échelon")</f>
        <v>#NUM!</v>
      </c>
      <c r="F67" s="116"/>
      <c r="G67" s="73"/>
      <c r="H67" s="336" t="e">
        <f>IF(COUNTIF(LP01_D,"&gt;"&amp;H66)&gt;=1,LARGE(LP01_D,COUNTIF(LP01_D,"&gt;"&amp;H66)),H66)</f>
        <v>#VALUE!</v>
      </c>
      <c r="I67" s="336"/>
      <c r="J67" s="66"/>
      <c r="K67" s="66"/>
      <c r="L67" s="66"/>
      <c r="M67" s="83"/>
      <c r="N67" s="116"/>
      <c r="O67" s="334" t="s">
        <v>168</v>
      </c>
      <c r="P67" s="334"/>
      <c r="Q67" s="91">
        <f>DATE(L16,K13,J14)</f>
        <v>44175</v>
      </c>
      <c r="R67" s="116"/>
      <c r="S67" s="82" t="e">
        <f>IF(LARGE(LP01_D,1)=V66,"Haut de l’échelon salariale atteint","Augmentation au prochain échelon")</f>
        <v>#NUM!</v>
      </c>
      <c r="T67" s="82"/>
      <c r="U67" s="82"/>
      <c r="V67" s="336" t="e">
        <f>IF(COUNTIF(LP01_D,"&gt;"&amp;V66)&gt;=1,LARGE(LP01_D,COUNTIF(LP01_D,"&gt;"&amp;V66)),V66)</f>
        <v>#VALUE!</v>
      </c>
      <c r="W67" s="336"/>
      <c r="X67" s="66"/>
      <c r="Y67" s="66"/>
      <c r="Z67" s="66"/>
      <c r="AA67" s="66"/>
    </row>
    <row r="68" spans="1:27" ht="15.75" x14ac:dyDescent="0.25">
      <c r="A68" s="334" t="s">
        <v>168</v>
      </c>
      <c r="B68" s="334"/>
      <c r="C68" s="91">
        <f>DATE(L16,K13,J14)</f>
        <v>44175</v>
      </c>
      <c r="D68" s="64"/>
      <c r="E68" s="77" t="e">
        <f>IF(LARGE(LP01_D,1)=H67,"Haut de l’échelon salariale atteint","Augmentation au prochain échelon")</f>
        <v>#NUM!</v>
      </c>
      <c r="F68" s="77"/>
      <c r="G68" s="77"/>
      <c r="H68" s="336" t="e">
        <f>IF(COUNTIF(LP01_D,"&gt;"&amp;H67)&gt;=1,LARGE(LP01_D,COUNTIF(LP01_D,"&gt;"&amp;H67)),H67)</f>
        <v>#VALUE!</v>
      </c>
      <c r="I68" s="336"/>
      <c r="J68" s="66"/>
      <c r="K68" s="66"/>
      <c r="L68" s="66"/>
      <c r="M68" s="84"/>
      <c r="N68" s="116"/>
      <c r="O68" s="68" t="s">
        <v>165</v>
      </c>
      <c r="P68" s="116"/>
      <c r="Q68" s="69">
        <f>EDATE(Q67,6)</f>
        <v>44357</v>
      </c>
      <c r="R68" s="116"/>
      <c r="S68" s="365" t="e">
        <f>IF(LARGE(LP01_D,1)=V67,"Haut de l’échelon salariale atteint","Augmentation au prochain échelon")</f>
        <v>#NUM!</v>
      </c>
      <c r="T68" s="365"/>
      <c r="U68" s="365"/>
      <c r="V68" s="336" t="e">
        <f>IF(COUNTIF(LP01_D,"&gt;"&amp;V67)&gt;=1,LARGE(LP01_D,COUNTIF(LP01_D,"&gt;"&amp;V67)),V67)</f>
        <v>#VALUE!</v>
      </c>
      <c r="W68" s="336"/>
      <c r="X68" s="66"/>
      <c r="Y68" s="66"/>
      <c r="Z68" s="116"/>
      <c r="AA68" s="116"/>
    </row>
    <row r="69" spans="1:27" ht="28.9" customHeight="1" x14ac:dyDescent="0.25">
      <c r="A69" s="71"/>
      <c r="B69" s="71"/>
      <c r="C69" s="64"/>
      <c r="D69" s="80"/>
      <c r="E69" s="80"/>
      <c r="F69" s="80"/>
      <c r="G69" s="80"/>
      <c r="H69" s="81" t="e">
        <f>IF(LARGE(LP01_D,1)=H67,SUM(H68*J21),"0")</f>
        <v>#NUM!</v>
      </c>
      <c r="I69" s="81" t="e">
        <f>IF(LARGE(LP01_D,1)=H67,"Prime au rendement","La prime au rendement ne s'applique pas")</f>
        <v>#NUM!</v>
      </c>
      <c r="J69" s="81"/>
      <c r="K69" s="81"/>
      <c r="L69" s="66"/>
      <c r="M69" s="66"/>
      <c r="N69" s="116"/>
      <c r="O69" s="116"/>
      <c r="P69" s="116"/>
      <c r="Q69" s="116"/>
      <c r="R69" s="116"/>
      <c r="S69" s="116"/>
      <c r="T69" s="116"/>
      <c r="U69" s="116"/>
      <c r="V69" s="81" t="e">
        <f>IF(LARGE(LP01_D,1)=V67,SUM(V68*J21),"0")</f>
        <v>#NUM!</v>
      </c>
      <c r="W69" s="363" t="e">
        <f>IF(LARGE(LP01_D,1)=V67,"Prime au rendement","La prime au rendement ne s'applique pas")</f>
        <v>#NUM!</v>
      </c>
      <c r="X69" s="363"/>
      <c r="Y69" s="363"/>
      <c r="Z69" s="116"/>
      <c r="AA69" s="116"/>
    </row>
    <row r="70" spans="1:27" x14ac:dyDescent="0.25">
      <c r="A70" s="116"/>
      <c r="B70" s="116"/>
      <c r="C70" s="116"/>
      <c r="D70" s="116"/>
      <c r="E70" s="116"/>
      <c r="F70" s="116"/>
      <c r="G70" s="116"/>
      <c r="H70" s="116"/>
      <c r="I70" s="116"/>
      <c r="J70" s="116"/>
      <c r="K70" s="116"/>
      <c r="L70" s="66"/>
      <c r="M70" s="66"/>
      <c r="N70" s="116"/>
      <c r="O70" s="71"/>
      <c r="P70" s="71"/>
      <c r="Q70" s="64"/>
      <c r="R70" s="80"/>
      <c r="S70" s="80"/>
      <c r="T70" s="80"/>
      <c r="U70" s="80"/>
      <c r="V70" s="116"/>
      <c r="W70" s="116"/>
      <c r="X70" s="116"/>
      <c r="Y70" s="116"/>
      <c r="Z70" s="116"/>
      <c r="AA70" s="116"/>
    </row>
    <row r="71" spans="1:27" x14ac:dyDescent="0.25">
      <c r="A71" s="71"/>
      <c r="B71" s="352">
        <v>44690</v>
      </c>
      <c r="C71" s="352"/>
      <c r="D71" s="353" t="s">
        <v>18</v>
      </c>
      <c r="E71" s="353"/>
      <c r="F71" s="353"/>
      <c r="G71" s="353"/>
      <c r="H71" s="81"/>
      <c r="I71" s="81"/>
      <c r="J71" s="81"/>
      <c r="K71" s="76"/>
      <c r="L71" s="76"/>
      <c r="M71" s="66"/>
      <c r="N71" s="116"/>
      <c r="O71" s="71"/>
      <c r="P71" s="352">
        <v>44690</v>
      </c>
      <c r="Q71" s="352"/>
      <c r="R71" s="353" t="s">
        <v>18</v>
      </c>
      <c r="S71" s="353"/>
      <c r="T71" s="353"/>
      <c r="U71" s="353"/>
      <c r="V71" s="81"/>
      <c r="W71" s="81"/>
      <c r="X71" s="81"/>
      <c r="Y71" s="76"/>
      <c r="Z71" s="66"/>
      <c r="AA71" s="66"/>
    </row>
    <row r="72" spans="1:27" x14ac:dyDescent="0.25">
      <c r="A72" s="116"/>
      <c r="B72" s="116"/>
      <c r="C72" s="116"/>
      <c r="D72" s="116"/>
      <c r="E72" s="116"/>
      <c r="F72" s="116"/>
      <c r="G72" s="116"/>
      <c r="H72" s="116"/>
      <c r="I72" s="116"/>
      <c r="J72" s="116"/>
      <c r="K72" s="116"/>
      <c r="L72" s="76"/>
      <c r="M72" s="66"/>
      <c r="N72" s="116"/>
      <c r="O72" s="116"/>
      <c r="P72" s="116"/>
      <c r="Q72" s="116"/>
      <c r="R72" s="116"/>
      <c r="S72" s="116"/>
      <c r="T72" s="116"/>
      <c r="U72" s="116"/>
      <c r="V72" s="116"/>
      <c r="W72" s="116"/>
      <c r="X72" s="116"/>
      <c r="Y72" s="116"/>
      <c r="Z72" s="66"/>
      <c r="AA72" s="66"/>
    </row>
    <row r="73" spans="1:27" ht="14.45" customHeight="1" x14ac:dyDescent="0.25">
      <c r="A73" s="116"/>
      <c r="B73" s="116"/>
      <c r="C73" s="116"/>
      <c r="D73" s="116"/>
      <c r="E73" s="116"/>
      <c r="F73" s="116"/>
      <c r="G73" s="116"/>
      <c r="H73" s="116"/>
      <c r="I73" s="116"/>
      <c r="J73" s="116"/>
      <c r="K73" s="116"/>
      <c r="L73" s="116"/>
      <c r="M73" s="76"/>
      <c r="N73" s="116"/>
      <c r="O73" s="116"/>
      <c r="P73" s="116"/>
      <c r="Q73" s="116"/>
      <c r="R73" s="116"/>
      <c r="S73" s="116"/>
      <c r="T73" s="116"/>
      <c r="U73" s="116"/>
      <c r="V73" s="116"/>
      <c r="W73" s="116"/>
      <c r="X73" s="116"/>
      <c r="Y73" s="116"/>
      <c r="Z73" s="66"/>
      <c r="AA73" s="66"/>
    </row>
    <row r="74" spans="1:27" ht="14.45" customHeight="1" x14ac:dyDescent="0.25">
      <c r="A74" s="116"/>
      <c r="B74" s="116"/>
      <c r="C74" s="116"/>
      <c r="D74" s="116"/>
      <c r="E74" s="116"/>
      <c r="F74" s="116"/>
      <c r="G74" s="116"/>
      <c r="H74" s="116"/>
      <c r="I74" s="116"/>
      <c r="J74" s="116"/>
      <c r="K74" s="116"/>
      <c r="L74" s="116"/>
      <c r="M74" s="76"/>
      <c r="N74" s="116"/>
      <c r="O74" s="116"/>
      <c r="P74" s="116"/>
      <c r="Q74" s="116"/>
      <c r="R74" s="116"/>
      <c r="S74" s="116"/>
      <c r="T74" s="116"/>
      <c r="U74" s="116"/>
      <c r="V74" s="116"/>
      <c r="W74" s="116"/>
      <c r="X74" s="116"/>
      <c r="Y74" s="116"/>
      <c r="Z74" s="76"/>
      <c r="AA74" s="76"/>
    </row>
    <row r="75" spans="1:27" ht="14.45" customHeight="1" x14ac:dyDescent="0.25">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76"/>
      <c r="AA75" s="76"/>
    </row>
    <row r="76" spans="1:27" ht="14.45" customHeight="1" x14ac:dyDescent="0.25">
      <c r="A76" s="71"/>
      <c r="B76" s="85"/>
      <c r="C76" s="85">
        <v>44691</v>
      </c>
      <c r="D76" s="86"/>
      <c r="E76" s="86"/>
      <c r="F76" s="86"/>
      <c r="G76" s="86"/>
      <c r="H76" s="116"/>
      <c r="I76" s="116"/>
      <c r="J76" s="116"/>
      <c r="K76" s="116"/>
      <c r="L76" s="76"/>
      <c r="M76" s="76"/>
      <c r="N76" s="116"/>
      <c r="O76" s="71"/>
      <c r="P76" s="85"/>
      <c r="Q76" s="85"/>
      <c r="R76" s="86"/>
      <c r="S76" s="86"/>
      <c r="T76" s="86"/>
      <c r="U76" s="86"/>
      <c r="V76" s="81"/>
      <c r="W76" s="81"/>
      <c r="X76" s="81"/>
      <c r="Y76" s="76"/>
      <c r="Z76" s="76"/>
      <c r="AA76" s="76"/>
    </row>
    <row r="77" spans="1:27" ht="26.25" x14ac:dyDescent="0.4">
      <c r="A77" s="59" t="s">
        <v>83</v>
      </c>
      <c r="B77" s="71"/>
      <c r="C77" s="71"/>
      <c r="D77" s="71"/>
      <c r="E77" s="71"/>
      <c r="F77" s="71"/>
      <c r="G77" s="71"/>
      <c r="H77" s="71"/>
      <c r="I77" s="71"/>
      <c r="J77" s="71"/>
      <c r="K77" s="71"/>
      <c r="L77" s="87"/>
      <c r="M77" s="71"/>
      <c r="N77" s="219"/>
      <c r="O77" s="59" t="s">
        <v>82</v>
      </c>
      <c r="P77" s="116"/>
      <c r="Q77" s="116"/>
      <c r="R77" s="116"/>
      <c r="S77" s="116"/>
      <c r="T77" s="116"/>
      <c r="U77" s="116"/>
      <c r="V77" s="116"/>
      <c r="W77" s="116"/>
      <c r="X77" s="116"/>
      <c r="Y77" s="116"/>
      <c r="Z77" s="116"/>
      <c r="AA77" s="116"/>
    </row>
    <row r="78" spans="1:27" ht="21" x14ac:dyDescent="0.35">
      <c r="A78" s="63" t="s">
        <v>75</v>
      </c>
      <c r="B78" s="71"/>
      <c r="C78" s="71"/>
      <c r="D78" s="71"/>
      <c r="E78" s="71"/>
      <c r="F78" s="71"/>
      <c r="G78" s="71"/>
      <c r="H78" s="71"/>
      <c r="I78" s="71"/>
      <c r="J78" s="87"/>
      <c r="K78" s="71"/>
      <c r="L78" s="87"/>
      <c r="M78" s="116"/>
      <c r="N78" s="116"/>
      <c r="O78" s="88"/>
      <c r="P78" s="116"/>
      <c r="Q78" s="116"/>
      <c r="R78" s="116"/>
      <c r="S78" s="116"/>
      <c r="T78" s="116"/>
      <c r="U78" s="116"/>
      <c r="V78" s="116"/>
      <c r="W78" s="116"/>
      <c r="X78" s="116"/>
      <c r="Y78" s="116"/>
      <c r="Z78" s="116"/>
      <c r="AA78" s="116"/>
    </row>
    <row r="79" spans="1:27" ht="57.6" customHeight="1" x14ac:dyDescent="0.25">
      <c r="A79" s="71"/>
      <c r="B79" s="71"/>
      <c r="C79" s="71"/>
      <c r="D79" s="71" t="s">
        <v>19</v>
      </c>
      <c r="E79" s="89" t="s">
        <v>20</v>
      </c>
      <c r="F79" s="89" t="s">
        <v>21</v>
      </c>
      <c r="G79" s="71"/>
      <c r="H79" s="71"/>
      <c r="I79" s="71"/>
      <c r="J79" s="87"/>
      <c r="K79" s="71"/>
      <c r="L79" s="87"/>
      <c r="M79" s="116"/>
      <c r="N79" s="219"/>
      <c r="O79" s="116"/>
      <c r="P79" s="116"/>
      <c r="Q79" s="71" t="s">
        <v>19</v>
      </c>
      <c r="R79" s="89" t="s">
        <v>20</v>
      </c>
      <c r="S79" s="89" t="s">
        <v>21</v>
      </c>
      <c r="T79" s="116"/>
      <c r="U79" s="116"/>
      <c r="V79" s="116"/>
      <c r="W79" s="116"/>
      <c r="X79" s="116"/>
      <c r="Y79" s="116"/>
      <c r="Z79" s="116"/>
      <c r="AA79" s="116"/>
    </row>
    <row r="80" spans="1:27" ht="57.6" customHeight="1" x14ac:dyDescent="0.25">
      <c r="A80" s="71"/>
      <c r="B80" s="71"/>
      <c r="C80" s="71"/>
      <c r="D80" s="87">
        <v>43230</v>
      </c>
      <c r="E80" s="71" t="str">
        <f>IF(COUNTIF(LP01_old_rates,"&gt;"&amp;J11)&gt;=1,LARGE(LP01_old_rates,COUNTIF(LP01_old_rates,"&gt;"&amp;J11)),J11)</f>
        <v>Sélectionner</v>
      </c>
      <c r="F80" s="90" t="e">
        <f>IF(LARGE(LP01_old_rates,1)=J11,SUM(E80*J18),"0")</f>
        <v>#NUM!</v>
      </c>
      <c r="G80" s="71"/>
      <c r="H80" s="71"/>
      <c r="I80" s="71"/>
      <c r="J80" s="87"/>
      <c r="K80" s="71"/>
      <c r="L80" s="87"/>
      <c r="M80" s="116"/>
      <c r="N80" s="219"/>
      <c r="O80" s="116"/>
      <c r="P80" s="116"/>
      <c r="Q80" s="87">
        <v>43230</v>
      </c>
      <c r="R80" s="89" t="str">
        <f>IF(COUNTIF(LP01_old_rates,"&gt;"&amp;J11)&gt;=1,LARGE(LP01_old_rates,COUNTIF(LP01_old_rates,"&gt;"&amp;J11)),J11)</f>
        <v>Sélectionner</v>
      </c>
      <c r="S80" s="90" t="e">
        <f>IF(LARGE(LP01_old_rates,1)=J11,SUM(R80*J18),"0")</f>
        <v>#NUM!</v>
      </c>
      <c r="T80" s="116"/>
      <c r="U80" s="116"/>
      <c r="V80" s="116"/>
      <c r="W80" s="116"/>
      <c r="X80" s="116"/>
      <c r="Y80" s="116"/>
      <c r="Z80" s="116"/>
      <c r="AA80" s="116"/>
    </row>
    <row r="81" spans="1:27" ht="43.15" customHeight="1" x14ac:dyDescent="0.25">
      <c r="A81" s="71"/>
      <c r="B81" s="91"/>
      <c r="C81" s="91"/>
      <c r="D81" s="220" t="s">
        <v>98</v>
      </c>
      <c r="E81" s="71" t="str">
        <f>IF(COUNTIF(LP01_old_rates,"&gt;"&amp;J11)&gt;=1,LARGE(LP01_old_rates,COUNTIF(LP01_old_rates,"&gt;"&amp;J11)),J11)</f>
        <v>Sélectionner</v>
      </c>
      <c r="F81" s="116"/>
      <c r="G81" s="71"/>
      <c r="H81" s="71"/>
      <c r="I81" s="71"/>
      <c r="J81" s="87"/>
      <c r="K81" s="116"/>
      <c r="L81" s="116"/>
      <c r="M81" s="84"/>
      <c r="N81" s="116"/>
      <c r="O81" s="116"/>
      <c r="P81" s="116"/>
      <c r="Q81" s="89" t="s">
        <v>86</v>
      </c>
      <c r="R81" s="71" t="str">
        <f>IF(COUNTIF(LP01_old_rates,"&gt;"&amp;J11)&gt;=1,LARGE(LP01_old_rates,COUNTIF(LP01_old_rates,"&gt;"&amp;J11)),J11)</f>
        <v>Sélectionner</v>
      </c>
      <c r="S81" s="116"/>
      <c r="T81" s="116"/>
      <c r="U81" s="116"/>
      <c r="V81" s="116"/>
      <c r="W81" s="116"/>
      <c r="X81" s="116"/>
      <c r="Y81" s="116"/>
      <c r="Z81" s="116"/>
      <c r="AA81" s="116"/>
    </row>
    <row r="82" spans="1:27" ht="43.15" customHeight="1" x14ac:dyDescent="0.25">
      <c r="A82" s="71"/>
      <c r="B82" s="91"/>
      <c r="C82" s="91"/>
      <c r="D82" s="89" t="s">
        <v>86</v>
      </c>
      <c r="E82" s="71" t="str">
        <f>IF(COUNTIF(LP01_old_rates,"&gt;"&amp;E81)&gt;=1,LARGE(LP01_old_rates,COUNTIF(LP01_old_rates,"&gt;"&amp;E81)),E81)</f>
        <v>Sélectionner</v>
      </c>
      <c r="F82" s="116"/>
      <c r="G82" s="71"/>
      <c r="H82" s="71"/>
      <c r="I82" s="71"/>
      <c r="J82" s="87"/>
      <c r="K82" s="116"/>
      <c r="L82" s="116"/>
      <c r="M82" s="116"/>
      <c r="N82" s="116"/>
      <c r="O82" s="116"/>
      <c r="P82" s="116"/>
      <c r="Q82" s="221" t="s">
        <v>98</v>
      </c>
      <c r="R82" s="71" t="str">
        <f>IF(COUNTIF(LP01_old_rates,"&gt;"&amp;R81)&gt;=1,LARGE(LP01_old_rates,COUNTIF(LP01_old_rates,"&gt;"&amp;R81)),R81)</f>
        <v>Sélectionner</v>
      </c>
      <c r="S82" s="116"/>
      <c r="T82" s="116"/>
      <c r="U82" s="116"/>
      <c r="V82" s="116"/>
      <c r="W82" s="116"/>
      <c r="X82" s="116"/>
      <c r="Y82" s="116"/>
      <c r="Z82" s="116"/>
      <c r="AA82" s="116"/>
    </row>
    <row r="83" spans="1:27" ht="43.15" customHeight="1" x14ac:dyDescent="0.25">
      <c r="A83" s="71"/>
      <c r="B83" s="91"/>
      <c r="C83" s="91"/>
      <c r="D83" s="92">
        <v>43595</v>
      </c>
      <c r="E83" s="71"/>
      <c r="F83" s="90" t="e">
        <f>IF(AND(J16&gt;D83,LARGE(LP01_old_rates,1)=E81),SUM(E82*J19),"0")</f>
        <v>#NUM!</v>
      </c>
      <c r="G83" s="71"/>
      <c r="H83" s="71"/>
      <c r="I83" s="71"/>
      <c r="J83" s="87"/>
      <c r="K83" s="116"/>
      <c r="L83" s="116"/>
      <c r="M83" s="84"/>
      <c r="N83" s="116"/>
      <c r="O83" s="116"/>
      <c r="P83" s="116"/>
      <c r="Q83" s="92">
        <v>43595</v>
      </c>
      <c r="R83" s="71"/>
      <c r="S83" s="90" t="e">
        <f>IF(AND(J16&gt;Q83,LARGE(LP01_old_rates,1)=R81),SUM(R82*J19),"0")</f>
        <v>#NUM!</v>
      </c>
      <c r="T83" s="116"/>
      <c r="U83" s="116"/>
      <c r="V83" s="116"/>
      <c r="W83" s="116"/>
      <c r="X83" s="116"/>
      <c r="Y83" s="116"/>
      <c r="Z83" s="116"/>
      <c r="AA83" s="116"/>
    </row>
    <row r="84" spans="1:27" ht="43.15" customHeight="1" x14ac:dyDescent="0.25">
      <c r="A84" s="71"/>
      <c r="B84" s="71"/>
      <c r="C84" s="93"/>
      <c r="D84" s="220" t="s">
        <v>99</v>
      </c>
      <c r="E84" s="71" t="str">
        <f>IF(COUNTIF(LP01_old_rates,"&gt;"&amp;E82)&gt;=1,LARGE(LP01_old_rates,COUNTIF(LP01_old_rates,"&gt;"&amp;E82)),E82)</f>
        <v>Sélectionner</v>
      </c>
      <c r="F84" s="116"/>
      <c r="G84" s="71"/>
      <c r="H84" s="116"/>
      <c r="I84" s="116"/>
      <c r="J84" s="116"/>
      <c r="K84" s="116"/>
      <c r="L84" s="116"/>
      <c r="M84" s="84"/>
      <c r="N84" s="116"/>
      <c r="O84" s="116"/>
      <c r="P84" s="116"/>
      <c r="Q84" s="89" t="s">
        <v>87</v>
      </c>
      <c r="R84" s="71" t="str">
        <f>IF(COUNTIF(LP01_old_rates,"&gt;"&amp;R82)&gt;=1,LARGE(LP01_old_rates,COUNTIF(LP01_old_rates,"&gt;"&amp;R82)),R82)</f>
        <v>Sélectionner</v>
      </c>
      <c r="S84" s="116"/>
      <c r="T84" s="116"/>
      <c r="U84" s="116"/>
      <c r="V84" s="116"/>
      <c r="W84" s="116"/>
      <c r="X84" s="116"/>
      <c r="Y84" s="116"/>
      <c r="Z84" s="116"/>
      <c r="AA84" s="116"/>
    </row>
    <row r="85" spans="1:27" ht="43.15" customHeight="1" x14ac:dyDescent="0.25">
      <c r="A85" s="71"/>
      <c r="B85" s="71"/>
      <c r="C85" s="93"/>
      <c r="D85" s="89" t="s">
        <v>87</v>
      </c>
      <c r="E85" s="71" t="str">
        <f>IF(COUNTIF(LP01_old_rates,"&gt;"&amp;E84)&gt;=1,LARGE(LP01_old_rates,COUNTIF(LP01_old_rates,"&gt;"&amp;E84)),E84)</f>
        <v>Sélectionner</v>
      </c>
      <c r="F85" s="116"/>
      <c r="G85" s="71"/>
      <c r="H85" s="116"/>
      <c r="I85" s="116"/>
      <c r="J85" s="116"/>
      <c r="K85" s="116"/>
      <c r="L85" s="116"/>
      <c r="M85" s="116"/>
      <c r="N85" s="116"/>
      <c r="O85" s="116"/>
      <c r="P85" s="116"/>
      <c r="Q85" s="221" t="s">
        <v>99</v>
      </c>
      <c r="R85" s="71" t="str">
        <f>IF(COUNTIF(LP01_old_rates,"&gt;"&amp;R84)&gt;=1,LARGE(LP01_old_rates,COUNTIF(LP01_old_rates,"&gt;"&amp;R84)),R84)</f>
        <v>Sélectionner</v>
      </c>
      <c r="S85" s="116"/>
      <c r="T85" s="116"/>
      <c r="U85" s="116"/>
      <c r="V85" s="116"/>
      <c r="W85" s="116"/>
      <c r="X85" s="116"/>
      <c r="Y85" s="116"/>
      <c r="Z85" s="116"/>
      <c r="AA85" s="116"/>
    </row>
    <row r="86" spans="1:27" ht="43.15" customHeight="1" x14ac:dyDescent="0.25">
      <c r="A86" s="71"/>
      <c r="B86" s="71"/>
      <c r="C86" s="93"/>
      <c r="D86" s="92">
        <v>43961</v>
      </c>
      <c r="E86" s="71"/>
      <c r="F86" s="90" t="e">
        <f>IF(AND(J16&gt;D86,LARGE(LP01_old_rates,1)=E84),SUM(E85*J20),"0")</f>
        <v>#NUM!</v>
      </c>
      <c r="G86" s="71"/>
      <c r="H86" s="116"/>
      <c r="I86" s="116"/>
      <c r="J86" s="116"/>
      <c r="K86" s="116"/>
      <c r="L86" s="116"/>
      <c r="M86" s="84"/>
      <c r="N86" s="116"/>
      <c r="O86" s="116"/>
      <c r="P86" s="116"/>
      <c r="Q86" s="92">
        <v>43961</v>
      </c>
      <c r="R86" s="71"/>
      <c r="S86" s="90" t="e">
        <f>IF(AND(J16&gt;Q86,LARGE(LP01_old_rates,1)=R84),SUM(R85*J20),"0")</f>
        <v>#NUM!</v>
      </c>
      <c r="T86" s="116"/>
      <c r="U86" s="116"/>
      <c r="V86" s="116"/>
      <c r="W86" s="116"/>
      <c r="X86" s="116"/>
      <c r="Y86" s="116"/>
      <c r="Z86" s="116"/>
      <c r="AA86" s="116"/>
    </row>
    <row r="87" spans="1:27" ht="43.15" customHeight="1" x14ac:dyDescent="0.25">
      <c r="A87" s="71"/>
      <c r="B87" s="71"/>
      <c r="C87" s="93"/>
      <c r="D87" s="220" t="s">
        <v>100</v>
      </c>
      <c r="E87" s="71" t="str">
        <f>IF(COUNTIF(LP01_old_rates,"&gt;"&amp;E85)&gt;=1,LARGE(LP01_old_rates,COUNTIF(LP01_old_rates,"&gt;"&amp;E85)),E85)</f>
        <v>Sélectionner</v>
      </c>
      <c r="F87" s="116"/>
      <c r="G87" s="81"/>
      <c r="H87" s="81"/>
      <c r="I87" s="81"/>
      <c r="J87" s="81"/>
      <c r="K87" s="81"/>
      <c r="L87" s="81"/>
      <c r="M87" s="81"/>
      <c r="N87" s="222"/>
      <c r="O87" s="116"/>
      <c r="P87" s="116"/>
      <c r="Q87" s="89" t="s">
        <v>88</v>
      </c>
      <c r="R87" s="71" t="str">
        <f>IF(COUNTIF(LP01_old_rates,"&gt;"&amp;R85)&gt;=1,LARGE(LP01_old_rates,COUNTIF(LP01_old_rates,"&gt;"&amp;R85)),R85)</f>
        <v>Sélectionner</v>
      </c>
      <c r="S87" s="116"/>
      <c r="T87" s="116"/>
      <c r="U87" s="116"/>
      <c r="V87" s="116"/>
      <c r="W87" s="116"/>
      <c r="X87" s="116"/>
      <c r="Y87" s="116"/>
      <c r="Z87" s="116"/>
      <c r="AA87" s="116"/>
    </row>
    <row r="88" spans="1:27" ht="43.15" customHeight="1" x14ac:dyDescent="0.25">
      <c r="A88" s="71"/>
      <c r="B88" s="71"/>
      <c r="C88" s="93"/>
      <c r="D88" s="89" t="s">
        <v>88</v>
      </c>
      <c r="E88" s="71" t="str">
        <f>IF(COUNTIF(LP01_old_rates,"&gt;"&amp;E87)&gt;=1,LARGE(LP01_old_rates,COUNTIF(LP01_old_rates,"&gt;"&amp;E87)),E87)</f>
        <v>Sélectionner</v>
      </c>
      <c r="F88" s="116"/>
      <c r="G88" s="81"/>
      <c r="H88" s="81"/>
      <c r="I88" s="81"/>
      <c r="J88" s="81"/>
      <c r="K88" s="81"/>
      <c r="L88" s="116"/>
      <c r="M88" s="116"/>
      <c r="N88" s="116"/>
      <c r="O88" s="116"/>
      <c r="P88" s="116"/>
      <c r="Q88" s="221" t="s">
        <v>100</v>
      </c>
      <c r="R88" s="71" t="str">
        <f>IF(COUNTIF(LP01_old_rates,"&gt;"&amp;R87)&gt;=1,LARGE(LP01_old_rates,COUNTIF(LP01_old_rates,"&gt;"&amp;R87)),R87)</f>
        <v>Sélectionner</v>
      </c>
      <c r="S88" s="116"/>
      <c r="T88" s="116"/>
      <c r="U88" s="116"/>
      <c r="V88" s="116"/>
      <c r="W88" s="116"/>
      <c r="X88" s="116"/>
      <c r="Y88" s="116"/>
      <c r="Z88" s="116"/>
      <c r="AA88" s="116"/>
    </row>
    <row r="89" spans="1:27" ht="43.15" customHeight="1" x14ac:dyDescent="0.25">
      <c r="A89" s="71"/>
      <c r="B89" s="71"/>
      <c r="C89" s="93"/>
      <c r="D89" s="92">
        <v>44326</v>
      </c>
      <c r="E89" s="71"/>
      <c r="F89" s="90" t="e">
        <f>IF(AND(J16&gt;D89,LARGE(LP01_old_rates,1)=E87),SUM(E88*J20),"0")</f>
        <v>#NUM!</v>
      </c>
      <c r="G89" s="81"/>
      <c r="H89" s="81"/>
      <c r="I89" s="81"/>
      <c r="J89" s="81"/>
      <c r="K89" s="81"/>
      <c r="L89" s="81"/>
      <c r="M89" s="81"/>
      <c r="N89" s="222"/>
      <c r="O89" s="116"/>
      <c r="P89" s="116"/>
      <c r="Q89" s="92">
        <v>44326</v>
      </c>
      <c r="R89" s="71"/>
      <c r="S89" s="90" t="e">
        <f>IF(AND(J16&gt;Q89,LARGE(LP01_old_rates,1)=R87),SUM(R88*J20),"0")</f>
        <v>#NUM!</v>
      </c>
      <c r="T89" s="116"/>
      <c r="U89" s="116"/>
      <c r="V89" s="116"/>
      <c r="W89" s="116"/>
      <c r="X89" s="116"/>
      <c r="Y89" s="116"/>
      <c r="Z89" s="116"/>
      <c r="AA89" s="116"/>
    </row>
    <row r="90" spans="1:27" ht="43.15" customHeight="1" x14ac:dyDescent="0.25">
      <c r="A90" s="116"/>
      <c r="B90" s="91"/>
      <c r="C90" s="91"/>
      <c r="D90" s="220" t="s">
        <v>101</v>
      </c>
      <c r="E90" s="71" t="str">
        <f>IF(COUNTIF(LP01_old_rates,"&gt;"&amp;E88)&gt;=1,LARGE(LP01_old_rates,COUNTIF(LP01_old_rates,"&gt;"&amp;E88)),E88)</f>
        <v>Sélectionner</v>
      </c>
      <c r="F90" s="116"/>
      <c r="G90" s="71"/>
      <c r="H90" s="87"/>
      <c r="I90" s="93"/>
      <c r="J90" s="71"/>
      <c r="K90" s="81"/>
      <c r="L90" s="81"/>
      <c r="M90" s="94"/>
      <c r="N90" s="116"/>
      <c r="O90" s="116"/>
      <c r="P90" s="116"/>
      <c r="Q90" s="89" t="s">
        <v>89</v>
      </c>
      <c r="R90" s="71" t="str">
        <f>IF(COUNTIF(LP01_old_rates,"&gt;"&amp;R88)&gt;=1,LARGE(LP01_old_rates,COUNTIF(LP01_old_rates,"&gt;"&amp;R88)),R88)</f>
        <v>Sélectionner</v>
      </c>
      <c r="S90" s="116"/>
      <c r="T90" s="116"/>
      <c r="U90" s="116"/>
      <c r="V90" s="116"/>
      <c r="W90" s="116"/>
      <c r="X90" s="116"/>
      <c r="Y90" s="116"/>
      <c r="Z90" s="116"/>
      <c r="AA90" s="116"/>
    </row>
    <row r="91" spans="1:27" ht="43.15" customHeight="1" x14ac:dyDescent="0.25">
      <c r="A91" s="116"/>
      <c r="B91" s="91"/>
      <c r="C91" s="91"/>
      <c r="D91" s="89" t="s">
        <v>89</v>
      </c>
      <c r="E91" s="71" t="str">
        <f>IF(COUNTIF(LP01_old_rates,"&gt;"&amp;E90)&gt;=1,LARGE(LP01_old_rates,COUNTIF(LP01_old_rates,"&gt;"&amp;E90)),E90)</f>
        <v>Sélectionner</v>
      </c>
      <c r="F91" s="116"/>
      <c r="G91" s="71"/>
      <c r="H91" s="87"/>
      <c r="I91" s="93"/>
      <c r="J91" s="71"/>
      <c r="K91" s="81"/>
      <c r="L91" s="116"/>
      <c r="M91" s="116"/>
      <c r="N91" s="116"/>
      <c r="O91" s="116"/>
      <c r="P91" s="116"/>
      <c r="Q91" s="221" t="s">
        <v>101</v>
      </c>
      <c r="R91" s="71" t="str">
        <f>IF(COUNTIF(LP01_old_rates,"&gt;"&amp;R90)&gt;=1,LARGE(LP01_old_rates,COUNTIF(LP01_old_rates,"&gt;"&amp;R90)),R90)</f>
        <v>Sélectionner</v>
      </c>
      <c r="S91" s="116"/>
      <c r="T91" s="116"/>
      <c r="U91" s="116"/>
      <c r="V91" s="116"/>
      <c r="W91" s="116"/>
      <c r="X91" s="116"/>
      <c r="Y91" s="116"/>
      <c r="Z91" s="116"/>
      <c r="AA91" s="116"/>
    </row>
    <row r="92" spans="1:27" ht="43.15" customHeight="1" x14ac:dyDescent="0.25">
      <c r="A92" s="116"/>
      <c r="B92" s="91"/>
      <c r="C92" s="91"/>
      <c r="D92" s="95">
        <v>44691</v>
      </c>
      <c r="E92" s="71"/>
      <c r="F92" s="90"/>
      <c r="G92" s="71"/>
      <c r="H92" s="87"/>
      <c r="I92" s="93"/>
      <c r="J92" s="71"/>
      <c r="K92" s="81"/>
      <c r="L92" s="116"/>
      <c r="M92" s="116"/>
      <c r="N92" s="116"/>
      <c r="O92" s="116"/>
      <c r="P92" s="116"/>
      <c r="Q92" s="221"/>
      <c r="R92" s="71"/>
      <c r="S92" s="116"/>
      <c r="T92" s="116"/>
      <c r="U92" s="116"/>
      <c r="V92" s="116"/>
      <c r="W92" s="116"/>
      <c r="X92" s="116"/>
      <c r="Y92" s="116"/>
      <c r="Z92" s="116"/>
      <c r="AA92" s="116"/>
    </row>
    <row r="93" spans="1:27" ht="26.25" x14ac:dyDescent="0.4">
      <c r="A93" s="59" t="s">
        <v>83</v>
      </c>
      <c r="B93" s="93"/>
      <c r="C93" s="71"/>
      <c r="D93" s="89"/>
      <c r="E93" s="71"/>
      <c r="F93" s="90"/>
      <c r="G93" s="71"/>
      <c r="H93" s="96"/>
      <c r="I93" s="93"/>
      <c r="J93" s="71"/>
      <c r="K93" s="81"/>
      <c r="L93" s="94"/>
      <c r="M93" s="94"/>
      <c r="N93" s="116"/>
      <c r="O93" s="59" t="s">
        <v>82</v>
      </c>
      <c r="P93" s="116"/>
      <c r="Q93" s="116"/>
      <c r="R93" s="116"/>
      <c r="S93" s="116"/>
      <c r="T93" s="116"/>
      <c r="U93" s="116"/>
      <c r="V93" s="116"/>
      <c r="W93" s="116"/>
      <c r="X93" s="116"/>
      <c r="Y93" s="116"/>
      <c r="Z93" s="116"/>
      <c r="AA93" s="116"/>
    </row>
    <row r="94" spans="1:27" ht="21" x14ac:dyDescent="0.35">
      <c r="A94" s="63" t="s">
        <v>77</v>
      </c>
      <c r="B94" s="93"/>
      <c r="C94" s="71"/>
      <c r="D94" s="89"/>
      <c r="E94" s="71"/>
      <c r="F94" s="90"/>
      <c r="G94" s="71"/>
      <c r="H94" s="96"/>
      <c r="I94" s="93"/>
      <c r="J94" s="71"/>
      <c r="K94" s="81"/>
      <c r="L94" s="94"/>
      <c r="M94" s="94"/>
      <c r="N94" s="116"/>
      <c r="O94" s="71"/>
      <c r="P94" s="116"/>
      <c r="Q94" s="116"/>
      <c r="R94" s="116"/>
      <c r="S94" s="116"/>
      <c r="T94" s="116"/>
      <c r="U94" s="116"/>
      <c r="V94" s="116"/>
      <c r="W94" s="116"/>
      <c r="X94" s="116"/>
      <c r="Y94" s="116"/>
      <c r="Z94" s="116"/>
      <c r="AA94" s="116"/>
    </row>
    <row r="95" spans="1:27" ht="72" customHeight="1" x14ac:dyDescent="0.25">
      <c r="A95" s="93"/>
      <c r="B95" s="93"/>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row>
    <row r="96" spans="1:27" ht="43.15" customHeight="1" x14ac:dyDescent="0.25">
      <c r="A96" s="89"/>
      <c r="B96" s="97" t="s">
        <v>95</v>
      </c>
      <c r="C96" s="97" t="s">
        <v>92</v>
      </c>
      <c r="D96" s="223" t="s">
        <v>90</v>
      </c>
      <c r="E96" s="97" t="s">
        <v>93</v>
      </c>
      <c r="F96" s="223" t="s">
        <v>94</v>
      </c>
      <c r="G96" s="223" t="s">
        <v>33</v>
      </c>
      <c r="H96" s="224" t="s">
        <v>102</v>
      </c>
      <c r="I96" s="223" t="s">
        <v>96</v>
      </c>
      <c r="J96" s="223" t="s">
        <v>36</v>
      </c>
      <c r="K96" s="224" t="s">
        <v>103</v>
      </c>
      <c r="L96" s="223" t="s">
        <v>97</v>
      </c>
      <c r="M96" s="223" t="s">
        <v>38</v>
      </c>
      <c r="N96" s="116"/>
      <c r="O96" s="89"/>
      <c r="P96" s="97" t="s">
        <v>105</v>
      </c>
      <c r="Q96" s="97" t="s">
        <v>106</v>
      </c>
      <c r="R96" s="223" t="s">
        <v>107</v>
      </c>
      <c r="S96" s="97" t="s">
        <v>108</v>
      </c>
      <c r="T96" s="223" t="s">
        <v>109</v>
      </c>
      <c r="U96" s="223" t="s">
        <v>110</v>
      </c>
      <c r="V96" s="224" t="s">
        <v>111</v>
      </c>
      <c r="W96" s="223" t="s">
        <v>112</v>
      </c>
      <c r="X96" s="223" t="s">
        <v>113</v>
      </c>
      <c r="Y96" s="224" t="s">
        <v>114</v>
      </c>
      <c r="Z96" s="223" t="s">
        <v>115</v>
      </c>
      <c r="AA96" s="223" t="s">
        <v>116</v>
      </c>
    </row>
    <row r="97" spans="1:27" ht="43.15" customHeight="1" x14ac:dyDescent="0.25">
      <c r="A97" s="98" t="s">
        <v>22</v>
      </c>
      <c r="B97" s="99" t="e">
        <f>SUM((H54/26.088/10*(NETWORKDAYS(B54,C55-1)))-(J11/26.088/10*(NETWORKDAYS(B54,C55-1))))</f>
        <v>#VALUE!</v>
      </c>
      <c r="C97" s="225" t="e">
        <f>SUM((H55/26.088/10*(NETWORKDAYS(C55,C56-1)))-(E81/26.088/10*(NETWORKDAYS(C55,C56-1))))</f>
        <v>#VALUE!</v>
      </c>
      <c r="D97" s="225" t="e">
        <f>SUM((H56/26.088/10*(NETWORKDAYS(C56,B58-1)))-(E82/26.088/10*(NETWORKDAYS(C56,B58-1))))</f>
        <v>#VALUE!</v>
      </c>
      <c r="E97" s="99" t="e">
        <f>IF(J16&lt;=C59,SUM((H58/26.088/10*(NETWORKDAYS(B58,J16)))-(E82/26.088/10*(NETWORKDAYS(B58,J16)))),SUM((H58/26.088/10*(NETWORKDAYS(B58,C59-1)))-(E82/26.088/10*(NETWORKDAYS(B58,C59-1)))))</f>
        <v>#VALUE!</v>
      </c>
      <c r="F97" s="225" t="e">
        <f>IF(J16&lt;=C60,SUM((H59/26.088/10*(NETWORKDAYS(C59,J16)))-(E84/26.088/10*(NETWORKDAYS(C59,J16)))),SUM((H59/26.088/10*(NETWORKDAYS(C59,C60-1)))-(E84/26.088/10*(NETWORKDAYS(C59,C60-1)))))</f>
        <v>#VALUE!</v>
      </c>
      <c r="G97" s="99" t="e">
        <f>IF(AND(J16&lt;=C60)=TRUE,0,IF(J16&gt;C60,SUM((H60/26.088/10*(NETWORKDAYS(C60,J16)))-(E85/26.088/10*(NETWORKDAYS(C60,J16)))),SUM((H60/26.088/10*(NETWORKDAYS(C60,B62-1)))-(E85/26.088/10*(NETWORKDAYS(C60,B62-1))))))</f>
        <v>#VALUE!</v>
      </c>
      <c r="H97" s="225">
        <f>IF(AND(J16&lt;=B62)=TRUE,0,IF(J16&gt;B62,SUM((H62/26.088/10*(NETWORKDAYS(B62,J16)))-(E85/26.088/10*(NETWORKDAYS(B62,J16)))),SUM((H62/26.088/10*(NETWORKDAYS(B62,C63-1)))-(E85/26.088/10*(NETWORKDAYS(B62,C63-1))))))</f>
        <v>0</v>
      </c>
      <c r="I97" s="99" t="e">
        <f>IF(AND(J16&lt;=C64,J16&lt;=C63)=TRUE,0,IF(J16&gt;C64,SUM((H63/26.088/10*(NETWORKDAYS(C63,J16)))-(E87/26.088/10*(NETWORKDAYS(C63,J16)))),SUM((H63/26.088/10*(NETWORKDAYS(C63,C64-1)))-(E87/26.088/10*(NETWORKDAYS(C63,C64-1))))))</f>
        <v>#VALUE!</v>
      </c>
      <c r="J97" s="99" t="e">
        <f>IF(AND(J16&lt;=C64)=TRUE,0,IF(J16&gt;C64,SUM((H64/26.088/10*(NETWORKDAYS(C64,J16)))-(E88/26.088/10*(NETWORKDAYS(C64,J16)))),SUM((H64/26.088/10*(NETWORKDAYS(C64,B66-1)))-(E88/26.088/10*(NETWORKDAYS(C64,B66-1))))))</f>
        <v>#VALUE!</v>
      </c>
      <c r="K97" s="225">
        <f>IF(AND(J16&lt;=B66)=TRUE,0,IF(J16&gt;B66,SUM((H66/26.088/10*(NETWORKDAYS(B66,J16)))-(E88/26.088/10*(NETWORKDAYS(B66,J16)))),SUM((H66/26.088/10*(NETWORKDAYS(B66,C67-1)))-(E88/26.088/10*(NETWORKDAYS(B66,C67-1))))))</f>
        <v>0</v>
      </c>
      <c r="L97" s="100">
        <f>IF(AND(J16&lt;=C67)=TRUE,0,IF(J16&gt;C67,SUM((H67/26.088/10*(NETWORKDAYS(C67,J16)))-(E90/26.088/10*(NETWORKDAYS(C67,J16)))),SUM((H67/26.088/10*(NETWORKDAYS(C67,C68-1)))-(E90/26.088/10*(NETWORKDAYS(C67,C68-1))))))</f>
        <v>0</v>
      </c>
      <c r="M97" s="100">
        <f>IF(AND(J16&lt;=C68)=TRUE,0,IF(J16&gt;C68,SUM((H68/26.088/10*(NETWORKDAYS(C68,J16)))-(E91/26.088/10*(NETWORKDAYS(C68,J16)))),SUM((H68/26.088/10*(NETWORKDAYS(C68,B71)))-(E91/26.088/10*(NETWORKDAYS(C68,B71))))))</f>
        <v>0</v>
      </c>
      <c r="N97" s="116"/>
      <c r="O97" s="98" t="s">
        <v>22</v>
      </c>
      <c r="P97" s="99" t="e">
        <f>SUM((V54/26.088/10*(NETWORKDAYS(P54,Q55-1)))-(J11/26.088/10*(NETWORKDAYS(P54,Q55-1))))</f>
        <v>#VALUE!</v>
      </c>
      <c r="Q97" s="225" t="e">
        <f>SUM((V55/26.088/10*(NETWORKDAYS(Q55,Q56-1)))-(R81/26.088/10*(NETWORKDAYS(Q55,Q56-1))))</f>
        <v>#VALUE!</v>
      </c>
      <c r="R97" s="225" t="e">
        <f>SUM((V56/26.088/10*(NETWORKDAYS(Q56,P58-1)))-(R82/26.088/10*(NETWORKDAYS(Q56,P58-1))))</f>
        <v>#VALUE!</v>
      </c>
      <c r="S97" s="99" t="e">
        <f>IF(J16&lt;=Q59,SUM((V58/26.088/10*(NETWORKDAYS(P58,J16)))-(R82/26.088/10*(NETWORKDAYS(P58,J16)))),SUM((V58/26.088/10*(NETWORKDAYS(P58,Q59-1)))-(R82/26.088/10*(NETWORKDAYS(P58,Q59-1)))))</f>
        <v>#VALUE!</v>
      </c>
      <c r="T97" s="225" t="e">
        <f>IF(J16&lt;=Q60,SUM((V59/26.088/10*(NETWORKDAYS(Q59,J16)))-(R84/26.088/10*(NETWORKDAYS(Q59,J16)))),SUM((V59/26.088/10*(NETWORKDAYS(Q59,Q60-1)))-(R84/26.088/10*(NETWORKDAYS(Q59,Q60-1)))))</f>
        <v>#VALUE!</v>
      </c>
      <c r="U97" s="99" t="e">
        <f>IF(AND(J16&lt;=Q60)=TRUE,0,IF(J16&gt;Q60,SUM((V60/26.088/10*(NETWORKDAYS(Q60,J16)))-(R85/26.088/10*(NETWORKDAYS(Q60,J16)))),SUM((V60/26.088/10*(NETWORKDAYS(Q60,P62-1)))-(R85/26.088/10*(NETWORKDAYS(Q60,P62-1))))))</f>
        <v>#VALUE!</v>
      </c>
      <c r="V97" s="225">
        <f>IF(AND(J16&lt;=P62)=TRUE,0,IF(J16&gt;P62,SUM((V62/26.088/10*(NETWORKDAYS(P62,J16)))-(R85/26.088/10*(NETWORKDAYS(P62,J16)))),SUM((V62/26.088/10*(NETWORKDAYS(P62,Q63-1)))-(R85/26.088/10*(NETWORKDAYS(P62,Q63-1))))))</f>
        <v>0</v>
      </c>
      <c r="W97" s="99" t="e">
        <f>IF(AND(J16&lt;=Q64,J16&lt;=Q63)=TRUE,0,IF(J16&gt;Q64,SUM((V63/26.088/10*(NETWORKDAYS(Q63,J16)))-(R87/26.088/10*(NETWORKDAYS(Q63,J16)))),SUM((V63/26.088/10*(NETWORKDAYS(Q63,Q64-1)))-(R87/26.088/10*(NETWORKDAYS(Q63,Q64-1))))))</f>
        <v>#VALUE!</v>
      </c>
      <c r="X97" s="99">
        <f>IF(AND(J16&lt;=Q64)=TRUE,0,IF(J16&gt;Q64,SUM((V64/26.088/10*(NETWORKDAYS(Q64,J16)))-(R88/26.088/10*(NETWORKDAYS(Q64,J16)))),SUM((V64/26.088/10*(NETWORKDAYS(Q64,P66-1)))-(R88/26.088/10*(NETWORKDAYS(Q64,P66-1))))))</f>
        <v>0</v>
      </c>
      <c r="Y97" s="225">
        <f>IF(AND(J16&lt;=P66)=TRUE,0,IF(J16&gt;P66,SUM((V66/26.088/10*(NETWORKDAYS(P66,J16)))-(R88/26.088/10*(NETWORKDAYS(P66,J16)))),SUM((V66/26.088/10*(NETWORKDAYS(P66,Q67-1)))-(R88/26.088/10*(NETWORKDAYS(P66,Q67-1))))))</f>
        <v>0</v>
      </c>
      <c r="Z97" s="100">
        <f>IF(AND(J16&lt;=Q67)=TRUE,0,IF(J16&gt;Q67,SUM((V67/26.088/10*(NETWORKDAYS(Q67,J16)))-(R90/26.088/10*(NETWORKDAYS(Q67,J16)))),SUM((V67/26.088/10*(NETWORKDAYS(Q67,Q68-1)))-(R90/26.088/10*(NETWORKDAYS(Q67,Q68-1))))))</f>
        <v>0</v>
      </c>
      <c r="AA97" s="100">
        <f>IF(AND(J16&lt;=Q68)=TRUE,0,IF(J16&gt;Q68,SUM((V68/26.088/10*(NETWORKDAYS(Q68,J16)))-(R91/26.088/10*(NETWORKDAYS(Q68,J16)))),SUM((V68/26.088/10*(NETWORKDAYS(Q68,P71)))-(R91/26.088/10*(NETWORKDAYS(Q68,P71))))))</f>
        <v>0</v>
      </c>
    </row>
    <row r="98" spans="1:27" ht="157.5" x14ac:dyDescent="0.25">
      <c r="A98" s="101" t="s">
        <v>39</v>
      </c>
      <c r="B98" s="102" t="e">
        <f>IF(B97&gt;0,H57-F80,0)</f>
        <v>#VALUE!</v>
      </c>
      <c r="C98" s="116"/>
      <c r="D98" s="102"/>
      <c r="E98" s="102" t="e">
        <f>IF(OR(E97=0,F97=0)=TRUE,0,H61-F83)</f>
        <v>#VALUE!</v>
      </c>
      <c r="F98" s="102"/>
      <c r="G98" s="116"/>
      <c r="H98" s="102" t="e">
        <f>IF(OR(H97=0,I97=0)=TRUE,0,H65-F86)</f>
        <v>#VALUE!</v>
      </c>
      <c r="I98" s="116"/>
      <c r="J98" s="102">
        <f>IF(OR(K97=0,L97=0)=TRUE,0,H69-F89)</f>
        <v>0</v>
      </c>
      <c r="K98" s="226"/>
      <c r="L98" s="103"/>
      <c r="M98" s="103"/>
      <c r="N98" s="116"/>
      <c r="O98" s="101" t="s">
        <v>39</v>
      </c>
      <c r="P98" s="90" t="e">
        <f>IF(P97&gt;0,V57-S80,0)</f>
        <v>#VALUE!</v>
      </c>
      <c r="Q98" s="227"/>
      <c r="R98" s="227"/>
      <c r="S98" s="90" t="e">
        <f>IF(OR(S97=0,T97=0)=TRUE,0,V61-S83)</f>
        <v>#VALUE!</v>
      </c>
      <c r="T98" s="116"/>
      <c r="U98" s="116"/>
      <c r="V98" s="90" t="e">
        <f>IF(OR(V97=0,W97=0)=TRUE,0,V65-S86)</f>
        <v>#VALUE!</v>
      </c>
      <c r="W98" s="88"/>
      <c r="X98" s="88"/>
      <c r="Y98" s="226">
        <f>IF(OR(Y97=0,Z97=0)=TRUE,0,V69-S89)</f>
        <v>0</v>
      </c>
      <c r="Z98" s="103"/>
      <c r="AA98" s="103"/>
    </row>
    <row r="99" spans="1:27" x14ac:dyDescent="0.25">
      <c r="A99" s="101"/>
      <c r="B99" s="102"/>
      <c r="C99" s="102"/>
      <c r="D99" s="102"/>
      <c r="E99" s="102"/>
      <c r="F99" s="102"/>
      <c r="G99" s="102"/>
      <c r="H99" s="102"/>
      <c r="I99" s="88"/>
      <c r="J99" s="88"/>
      <c r="K99" s="226"/>
      <c r="L99" s="103"/>
      <c r="M99" s="103"/>
      <c r="N99" s="116"/>
      <c r="O99" s="101"/>
      <c r="P99" s="90"/>
      <c r="Q99" s="227"/>
      <c r="R99" s="227"/>
      <c r="S99" s="90"/>
      <c r="T99" s="116"/>
      <c r="U99" s="90"/>
      <c r="V99" s="116"/>
      <c r="W99" s="88"/>
      <c r="X99" s="88"/>
      <c r="Y99" s="226"/>
      <c r="Z99" s="103"/>
      <c r="AA99" s="103"/>
    </row>
    <row r="100" spans="1:27" ht="315" x14ac:dyDescent="0.25">
      <c r="A100" s="98" t="s">
        <v>52</v>
      </c>
      <c r="B100" s="366" t="e">
        <f>SUM(B97:M97)</f>
        <v>#VALUE!</v>
      </c>
      <c r="C100" s="366"/>
      <c r="D100" s="71"/>
      <c r="E100" s="93"/>
      <c r="F100" s="104"/>
      <c r="G100" s="87"/>
      <c r="H100" s="93"/>
      <c r="I100" s="87"/>
      <c r="J100" s="93"/>
      <c r="K100" s="227"/>
      <c r="L100" s="93"/>
      <c r="M100" s="116"/>
      <c r="N100" s="116"/>
      <c r="O100" s="98" t="s">
        <v>52</v>
      </c>
      <c r="P100" s="368" t="e">
        <f>SUM(P97:AA97)</f>
        <v>#VALUE!</v>
      </c>
      <c r="Q100" s="368"/>
      <c r="R100" s="71"/>
      <c r="S100" s="93"/>
      <c r="T100" s="104"/>
      <c r="U100" s="87"/>
      <c r="V100" s="93"/>
      <c r="W100" s="87"/>
      <c r="X100" s="93"/>
      <c r="Y100" s="227"/>
      <c r="Z100" s="93"/>
      <c r="AA100" s="116"/>
    </row>
    <row r="101" spans="1:27" ht="409.5" x14ac:dyDescent="0.25">
      <c r="A101" s="98" t="s">
        <v>53</v>
      </c>
      <c r="B101" s="367" t="e">
        <f>SUM(B98:J98)</f>
        <v>#VALUE!</v>
      </c>
      <c r="C101" s="367"/>
      <c r="D101" s="105"/>
      <c r="E101" s="71"/>
      <c r="F101" s="71"/>
      <c r="G101" s="71"/>
      <c r="H101" s="71"/>
      <c r="I101" s="71"/>
      <c r="J101" s="71"/>
      <c r="K101" s="116"/>
      <c r="L101" s="71"/>
      <c r="M101" s="116"/>
      <c r="N101" s="116"/>
      <c r="O101" s="98" t="s">
        <v>53</v>
      </c>
      <c r="P101" s="367" t="e">
        <f>SUM(P98:AA98)</f>
        <v>#VALUE!</v>
      </c>
      <c r="Q101" s="367"/>
      <c r="R101" s="105"/>
      <c r="S101" s="71"/>
      <c r="T101" s="71"/>
      <c r="U101" s="71"/>
      <c r="V101" s="71"/>
      <c r="W101" s="71"/>
      <c r="X101" s="71"/>
      <c r="Y101" s="116"/>
      <c r="Z101" s="71"/>
      <c r="AA101" s="116"/>
    </row>
    <row r="102" spans="1:27" x14ac:dyDescent="0.25">
      <c r="A102" s="93"/>
      <c r="B102" s="93"/>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row>
    <row r="103" spans="1:27" x14ac:dyDescent="0.25">
      <c r="A103" s="93"/>
      <c r="B103" s="93"/>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row>
    <row r="104" spans="1:27" x14ac:dyDescent="0.25">
      <c r="A104" s="71"/>
      <c r="B104" s="71"/>
      <c r="C104" s="71"/>
      <c r="D104" s="71"/>
      <c r="E104" s="71"/>
      <c r="F104" s="71"/>
      <c r="G104" s="71"/>
      <c r="H104" s="71"/>
      <c r="I104" s="71"/>
      <c r="J104" s="71"/>
      <c r="K104" s="71"/>
      <c r="L104" s="71"/>
      <c r="M104" s="71"/>
      <c r="N104" s="116"/>
      <c r="O104" s="116"/>
      <c r="P104" s="116"/>
      <c r="Q104" s="116"/>
      <c r="R104" s="116"/>
      <c r="S104" s="116"/>
      <c r="T104" s="116"/>
      <c r="U104" s="116"/>
      <c r="V104" s="116"/>
      <c r="W104" s="116"/>
      <c r="X104" s="116"/>
      <c r="Y104" s="116"/>
      <c r="Z104" s="116"/>
      <c r="AA104" s="116"/>
    </row>
    <row r="105" spans="1:27" ht="21" x14ac:dyDescent="0.35">
      <c r="A105" s="63" t="s">
        <v>73</v>
      </c>
      <c r="B105" s="71"/>
      <c r="C105" s="71"/>
      <c r="D105" s="71"/>
      <c r="E105" s="71"/>
      <c r="F105" s="71"/>
      <c r="G105" s="71"/>
      <c r="H105" s="71"/>
      <c r="I105" s="71"/>
      <c r="J105" s="71"/>
      <c r="K105" s="71"/>
      <c r="L105" s="71"/>
      <c r="M105" s="71"/>
      <c r="N105" s="116"/>
      <c r="O105" s="116"/>
      <c r="P105" s="116"/>
      <c r="Q105" s="116"/>
      <c r="R105" s="116"/>
      <c r="S105" s="116"/>
      <c r="T105" s="116"/>
      <c r="U105" s="116"/>
      <c r="V105" s="116"/>
      <c r="W105" s="116"/>
      <c r="X105" s="116"/>
      <c r="Y105" s="116"/>
      <c r="Z105" s="116"/>
      <c r="AA105" s="116"/>
    </row>
    <row r="106" spans="1:27" ht="21" x14ac:dyDescent="0.35">
      <c r="A106" s="63" t="s">
        <v>117</v>
      </c>
      <c r="B106" s="71"/>
      <c r="C106" s="71"/>
      <c r="D106" s="71"/>
      <c r="E106" s="71"/>
      <c r="F106" s="71"/>
      <c r="G106" s="71"/>
      <c r="H106" s="71"/>
      <c r="I106" s="71"/>
      <c r="J106" s="71"/>
      <c r="K106" s="71"/>
      <c r="L106" s="71"/>
      <c r="M106" s="71"/>
      <c r="N106" s="116"/>
      <c r="O106" s="116"/>
      <c r="P106" s="116"/>
      <c r="Q106" s="116"/>
      <c r="R106" s="116"/>
      <c r="S106" s="116"/>
      <c r="T106" s="116"/>
      <c r="U106" s="116"/>
      <c r="V106" s="116"/>
      <c r="W106" s="116"/>
      <c r="X106" s="116"/>
      <c r="Y106" s="116"/>
      <c r="Z106" s="116"/>
      <c r="AA106" s="116"/>
    </row>
    <row r="107" spans="1:27" x14ac:dyDescent="0.25">
      <c r="A107" s="71"/>
      <c r="B107" s="106" t="s">
        <v>151</v>
      </c>
      <c r="C107" s="107"/>
      <c r="D107" s="106" t="s">
        <v>29</v>
      </c>
      <c r="E107" s="107"/>
      <c r="F107" s="107"/>
      <c r="G107" s="107"/>
      <c r="H107" s="107"/>
      <c r="I107" s="107"/>
      <c r="J107" s="71"/>
      <c r="K107" s="71"/>
      <c r="L107" s="71"/>
      <c r="M107" s="108"/>
      <c r="N107" s="108"/>
      <c r="O107" s="108"/>
      <c r="P107" s="116"/>
      <c r="Q107" s="116"/>
      <c r="R107" s="116"/>
      <c r="S107" s="116"/>
      <c r="T107" s="116"/>
      <c r="U107" s="116"/>
      <c r="V107" s="116"/>
      <c r="W107" s="116"/>
      <c r="X107" s="116"/>
      <c r="Y107" s="116"/>
      <c r="Z107" s="116"/>
      <c r="AA107" s="116"/>
    </row>
    <row r="108" spans="1:27" x14ac:dyDescent="0.25">
      <c r="A108" s="71"/>
      <c r="B108" s="107"/>
      <c r="C108" s="107"/>
      <c r="D108" s="109">
        <v>1</v>
      </c>
      <c r="E108" s="109">
        <v>2</v>
      </c>
      <c r="F108" s="109">
        <v>3</v>
      </c>
      <c r="G108" s="109">
        <v>4</v>
      </c>
      <c r="H108" s="109">
        <v>5</v>
      </c>
      <c r="I108" s="109">
        <v>6</v>
      </c>
      <c r="J108" s="71">
        <v>7</v>
      </c>
      <c r="K108" s="71">
        <v>8</v>
      </c>
      <c r="L108" s="71" t="str">
        <f>""</f>
        <v/>
      </c>
      <c r="M108" s="71" t="str">
        <f>""</f>
        <v/>
      </c>
      <c r="N108" s="71" t="str">
        <f>""</f>
        <v/>
      </c>
      <c r="O108" s="228"/>
      <c r="P108" s="116"/>
      <c r="Q108" s="116"/>
      <c r="R108" s="116"/>
      <c r="S108" s="116"/>
      <c r="T108" s="116"/>
      <c r="U108" s="116"/>
      <c r="V108" s="116"/>
      <c r="W108" s="116"/>
      <c r="X108" s="116"/>
      <c r="Y108" s="116"/>
      <c r="Z108" s="116"/>
      <c r="AA108" s="116"/>
    </row>
    <row r="109" spans="1:27" x14ac:dyDescent="0.25">
      <c r="A109" s="71"/>
      <c r="B109" s="110" t="s">
        <v>0</v>
      </c>
      <c r="C109" s="106" t="s">
        <v>1</v>
      </c>
      <c r="D109" s="116">
        <v>76142</v>
      </c>
      <c r="E109" s="116">
        <v>79722</v>
      </c>
      <c r="F109" s="116">
        <v>83468</v>
      </c>
      <c r="G109" s="116">
        <v>87392</v>
      </c>
      <c r="H109" s="116">
        <v>91500</v>
      </c>
      <c r="I109" s="116">
        <v>95799</v>
      </c>
      <c r="J109" s="116">
        <v>100302</v>
      </c>
      <c r="K109" s="116">
        <v>105015</v>
      </c>
      <c r="L109" s="71" t="str">
        <f>""</f>
        <v/>
      </c>
      <c r="M109" s="71" t="str">
        <f>""</f>
        <v/>
      </c>
      <c r="N109" s="71" t="str">
        <f>""</f>
        <v/>
      </c>
      <c r="O109" s="229"/>
      <c r="P109" s="116"/>
      <c r="Q109" s="116"/>
      <c r="R109" s="116"/>
      <c r="S109" s="116"/>
      <c r="T109" s="116"/>
      <c r="U109" s="116"/>
      <c r="V109" s="116"/>
      <c r="W109" s="116"/>
      <c r="X109" s="116"/>
      <c r="Y109" s="116"/>
      <c r="Z109" s="116"/>
      <c r="AA109" s="116"/>
    </row>
    <row r="110" spans="1:27" x14ac:dyDescent="0.25">
      <c r="A110" s="71"/>
      <c r="B110" s="110"/>
      <c r="C110" s="106" t="s">
        <v>23</v>
      </c>
      <c r="D110" s="111">
        <f>SUM(((D109*2%)+D109),((D109*2%)+D109)*0.8%)</f>
        <v>78286.158719999992</v>
      </c>
      <c r="E110" s="111">
        <f t="shared" ref="E110:K110" si="6">SUM(((E109*2%)+E109),((E109*2%)+E109)*0.8%)</f>
        <v>81966.971520000006</v>
      </c>
      <c r="F110" s="111">
        <f t="shared" si="6"/>
        <v>85818.458880000006</v>
      </c>
      <c r="G110" s="111">
        <f t="shared" si="6"/>
        <v>89852.958719999995</v>
      </c>
      <c r="H110" s="111">
        <f t="shared" si="6"/>
        <v>94076.64</v>
      </c>
      <c r="I110" s="111">
        <f t="shared" si="6"/>
        <v>98496.699840000001</v>
      </c>
      <c r="J110" s="111">
        <f t="shared" si="6"/>
        <v>103126.50431999999</v>
      </c>
      <c r="K110" s="111">
        <f t="shared" si="6"/>
        <v>107972.2224</v>
      </c>
      <c r="L110" s="71" t="str">
        <f>""</f>
        <v/>
      </c>
      <c r="M110" s="71" t="str">
        <f>""</f>
        <v/>
      </c>
      <c r="N110" s="71" t="str">
        <f>""</f>
        <v/>
      </c>
      <c r="O110" s="230"/>
      <c r="P110" s="116"/>
      <c r="Q110" s="116"/>
      <c r="R110" s="116"/>
      <c r="S110" s="116"/>
      <c r="T110" s="116"/>
      <c r="U110" s="116"/>
      <c r="V110" s="116"/>
      <c r="W110" s="116"/>
      <c r="X110" s="116"/>
      <c r="Y110" s="116"/>
      <c r="Z110" s="116"/>
      <c r="AA110" s="116"/>
    </row>
    <row r="111" spans="1:27" x14ac:dyDescent="0.25">
      <c r="A111" s="71"/>
      <c r="B111" s="110"/>
      <c r="C111" s="106" t="s">
        <v>24</v>
      </c>
      <c r="D111" s="111">
        <f>SUM(((D110*2%)+D110),((D110*2%)+D110)*0.2%)</f>
        <v>80011.585658188793</v>
      </c>
      <c r="E111" s="111">
        <f t="shared" ref="E111:K111" si="7">SUM(((E110*2%)+E110),((E110*2%)+E110)*0.2%)</f>
        <v>83773.523572300808</v>
      </c>
      <c r="F111" s="111">
        <f t="shared" si="7"/>
        <v>87709.897713715211</v>
      </c>
      <c r="G111" s="111">
        <f t="shared" si="7"/>
        <v>91833.317930188787</v>
      </c>
      <c r="H111" s="111">
        <f t="shared" si="7"/>
        <v>96150.089145599995</v>
      </c>
      <c r="I111" s="111">
        <f t="shared" si="7"/>
        <v>100667.56710447359</v>
      </c>
      <c r="J111" s="111">
        <f t="shared" si="7"/>
        <v>105399.4124752128</v>
      </c>
      <c r="K111" s="111">
        <f t="shared" si="7"/>
        <v>110351.93018169599</v>
      </c>
      <c r="L111" s="71" t="str">
        <f>""</f>
        <v/>
      </c>
      <c r="M111" s="71" t="str">
        <f>""</f>
        <v/>
      </c>
      <c r="N111" s="71" t="str">
        <f>""</f>
        <v/>
      </c>
      <c r="O111" s="230"/>
      <c r="P111" s="116"/>
      <c r="Q111" s="116"/>
      <c r="R111" s="116"/>
      <c r="S111" s="116"/>
      <c r="T111" s="116"/>
      <c r="U111" s="116"/>
      <c r="V111" s="116"/>
      <c r="W111" s="116"/>
      <c r="X111" s="116"/>
      <c r="Y111" s="116"/>
      <c r="Z111" s="116"/>
      <c r="AA111" s="116"/>
    </row>
    <row r="112" spans="1:27" x14ac:dyDescent="0.25">
      <c r="A112" s="71"/>
      <c r="B112" s="110"/>
      <c r="C112" s="106"/>
      <c r="D112" s="111"/>
      <c r="E112" s="111"/>
      <c r="F112" s="111"/>
      <c r="G112" s="111"/>
      <c r="H112" s="111"/>
      <c r="I112" s="111"/>
      <c r="J112" s="111"/>
      <c r="K112" s="111"/>
      <c r="L112" s="71" t="str">
        <f>""</f>
        <v/>
      </c>
      <c r="M112" s="71" t="str">
        <f>""</f>
        <v/>
      </c>
      <c r="N112" s="71" t="str">
        <f>""</f>
        <v/>
      </c>
      <c r="O112" s="230"/>
      <c r="P112" s="116"/>
      <c r="Q112" s="116"/>
      <c r="R112" s="116"/>
      <c r="S112" s="116"/>
      <c r="T112" s="116"/>
      <c r="U112" s="116"/>
      <c r="V112" s="116"/>
      <c r="W112" s="116"/>
      <c r="X112" s="116"/>
      <c r="Y112" s="116"/>
      <c r="Z112" s="116"/>
      <c r="AA112" s="116"/>
    </row>
    <row r="113" spans="1:27" x14ac:dyDescent="0.25">
      <c r="A113" s="71"/>
      <c r="B113" s="110"/>
      <c r="C113" s="106" t="s">
        <v>26</v>
      </c>
      <c r="D113" s="111">
        <f>SUM(((D111*1.5%)+D111))</f>
        <v>81211.75944306163</v>
      </c>
      <c r="E113" s="111">
        <f t="shared" ref="E113:K113" si="8">SUM(((E111*1.5%)+E111))</f>
        <v>85030.126425885319</v>
      </c>
      <c r="F113" s="111">
        <f t="shared" si="8"/>
        <v>89025.54617942094</v>
      </c>
      <c r="G113" s="111">
        <f t="shared" si="8"/>
        <v>93210.817699141626</v>
      </c>
      <c r="H113" s="111">
        <f t="shared" si="8"/>
        <v>97592.340482783999</v>
      </c>
      <c r="I113" s="111">
        <f t="shared" si="8"/>
        <v>102177.5806110407</v>
      </c>
      <c r="J113" s="111">
        <f t="shared" si="8"/>
        <v>106980.40366234099</v>
      </c>
      <c r="K113" s="111">
        <f t="shared" si="8"/>
        <v>112007.20913442143</v>
      </c>
      <c r="L113" s="71" t="str">
        <f>""</f>
        <v/>
      </c>
      <c r="M113" s="71" t="str">
        <f>""</f>
        <v/>
      </c>
      <c r="N113" s="71" t="str">
        <f>""</f>
        <v/>
      </c>
      <c r="O113" s="230"/>
      <c r="P113" s="116"/>
      <c r="Q113" s="116"/>
      <c r="R113" s="116"/>
      <c r="S113" s="116"/>
      <c r="T113" s="116"/>
      <c r="U113" s="116"/>
      <c r="V113" s="116"/>
      <c r="W113" s="116"/>
      <c r="X113" s="116"/>
      <c r="Y113" s="116"/>
      <c r="Z113" s="116"/>
      <c r="AA113" s="116"/>
    </row>
    <row r="114" spans="1:27" x14ac:dyDescent="0.25">
      <c r="A114" s="71"/>
      <c r="B114" s="110"/>
      <c r="C114" s="106" t="s">
        <v>27</v>
      </c>
      <c r="D114" s="111">
        <f>SUM(((D113*1.5%)+D113))</f>
        <v>82429.935834707561</v>
      </c>
      <c r="E114" s="111">
        <f t="shared" ref="E114:K114" si="9">SUM(((E113*1.5%)+E113))</f>
        <v>86305.578322273592</v>
      </c>
      <c r="F114" s="111">
        <f t="shared" si="9"/>
        <v>90360.929372112252</v>
      </c>
      <c r="G114" s="111">
        <f t="shared" si="9"/>
        <v>94608.979964628757</v>
      </c>
      <c r="H114" s="111">
        <f t="shared" si="9"/>
        <v>99056.225590025759</v>
      </c>
      <c r="I114" s="111">
        <f t="shared" si="9"/>
        <v>103710.24432020632</v>
      </c>
      <c r="J114" s="111">
        <f t="shared" si="9"/>
        <v>108585.10971727611</v>
      </c>
      <c r="K114" s="111">
        <f t="shared" si="9"/>
        <v>113687.31727143774</v>
      </c>
      <c r="L114" s="71" t="str">
        <f>""</f>
        <v/>
      </c>
      <c r="M114" s="71" t="str">
        <f>""</f>
        <v/>
      </c>
      <c r="N114" s="71" t="str">
        <f>""</f>
        <v/>
      </c>
      <c r="O114" s="230"/>
      <c r="P114" s="116"/>
      <c r="Q114" s="116"/>
      <c r="R114" s="116"/>
      <c r="S114" s="116"/>
      <c r="T114" s="116"/>
      <c r="U114" s="116"/>
      <c r="V114" s="116"/>
      <c r="W114" s="116"/>
      <c r="X114" s="116"/>
      <c r="Y114" s="116"/>
      <c r="Z114" s="116"/>
      <c r="AA114" s="116"/>
    </row>
    <row r="115" spans="1:27" x14ac:dyDescent="0.25">
      <c r="A115" s="71"/>
      <c r="B115" s="110"/>
      <c r="C115" s="116"/>
      <c r="D115" s="116"/>
      <c r="E115" s="116"/>
      <c r="F115" s="116"/>
      <c r="G115" s="116"/>
      <c r="H115" s="116"/>
      <c r="I115" s="116"/>
      <c r="J115" s="116"/>
      <c r="K115" s="116"/>
      <c r="L115" s="71"/>
      <c r="M115" s="71"/>
      <c r="N115" s="71"/>
      <c r="O115" s="230"/>
      <c r="P115" s="116"/>
      <c r="Q115" s="116"/>
      <c r="R115" s="116"/>
      <c r="S115" s="116"/>
      <c r="T115" s="116"/>
      <c r="U115" s="116"/>
      <c r="V115" s="116"/>
      <c r="W115" s="116"/>
      <c r="X115" s="116"/>
      <c r="Y115" s="116"/>
      <c r="Z115" s="116"/>
      <c r="AA115" s="116"/>
    </row>
    <row r="116" spans="1:27" x14ac:dyDescent="0.25">
      <c r="A116" s="71"/>
      <c r="B116" s="71"/>
      <c r="C116" s="71"/>
      <c r="D116" s="71"/>
      <c r="E116" s="71"/>
      <c r="F116" s="71"/>
      <c r="G116" s="71"/>
      <c r="H116" s="71"/>
      <c r="I116" s="71"/>
      <c r="J116" s="71"/>
      <c r="K116" s="71"/>
      <c r="L116" s="71"/>
      <c r="M116" s="71"/>
      <c r="N116" s="116"/>
      <c r="O116" s="116"/>
      <c r="P116" s="116"/>
      <c r="Q116" s="116"/>
      <c r="R116" s="116"/>
      <c r="S116" s="116"/>
      <c r="T116" s="116"/>
      <c r="U116" s="116"/>
      <c r="V116" s="116"/>
      <c r="W116" s="116"/>
      <c r="X116" s="116"/>
      <c r="Y116" s="116"/>
      <c r="Z116" s="116"/>
      <c r="AA116" s="116"/>
    </row>
    <row r="117" spans="1:27" x14ac:dyDescent="0.25">
      <c r="A117" s="71"/>
      <c r="B117" s="106" t="s">
        <v>85</v>
      </c>
      <c r="C117" s="107"/>
      <c r="D117" s="107"/>
      <c r="E117" s="107"/>
      <c r="F117" s="107"/>
      <c r="G117" s="107"/>
      <c r="H117" s="107"/>
      <c r="I117" s="107"/>
      <c r="J117" s="107"/>
      <c r="K117" s="107"/>
      <c r="L117" s="71"/>
      <c r="M117" s="108"/>
      <c r="N117" s="108"/>
      <c r="O117" s="108"/>
      <c r="P117" s="116"/>
      <c r="Q117" s="116"/>
      <c r="R117" s="116"/>
      <c r="S117" s="116"/>
      <c r="T117" s="116"/>
      <c r="U117" s="116"/>
      <c r="V117" s="116"/>
      <c r="W117" s="116"/>
      <c r="X117" s="116"/>
      <c r="Y117" s="116"/>
      <c r="Z117" s="116"/>
      <c r="AA117" s="116"/>
    </row>
    <row r="118" spans="1:27" x14ac:dyDescent="0.25">
      <c r="A118" s="71"/>
      <c r="B118" s="107"/>
      <c r="C118" s="107"/>
      <c r="D118" s="109">
        <v>1</v>
      </c>
      <c r="E118" s="109">
        <v>2</v>
      </c>
      <c r="F118" s="109">
        <v>3</v>
      </c>
      <c r="G118" s="109">
        <v>4</v>
      </c>
      <c r="H118" s="109">
        <v>5</v>
      </c>
      <c r="I118" s="109">
        <v>6</v>
      </c>
      <c r="J118" s="109">
        <v>7</v>
      </c>
      <c r="K118" s="109">
        <v>8</v>
      </c>
      <c r="L118" s="71"/>
      <c r="M118" s="112"/>
      <c r="N118" s="112"/>
      <c r="O118" s="228"/>
      <c r="P118" s="116"/>
      <c r="Q118" s="116"/>
      <c r="R118" s="116"/>
      <c r="S118" s="116"/>
      <c r="T118" s="116"/>
      <c r="U118" s="116"/>
      <c r="V118" s="116"/>
      <c r="W118" s="116"/>
      <c r="X118" s="116"/>
      <c r="Y118" s="116"/>
      <c r="Z118" s="116"/>
      <c r="AA118" s="116"/>
    </row>
    <row r="119" spans="1:27" x14ac:dyDescent="0.25">
      <c r="A119" s="71"/>
      <c r="B119" s="110" t="s">
        <v>0</v>
      </c>
      <c r="C119" s="106" t="s">
        <v>1</v>
      </c>
      <c r="D119" s="116">
        <v>76142</v>
      </c>
      <c r="E119" s="116">
        <v>79722</v>
      </c>
      <c r="F119" s="116">
        <v>83468</v>
      </c>
      <c r="G119" s="116">
        <v>87392</v>
      </c>
      <c r="H119" s="116">
        <v>91500</v>
      </c>
      <c r="I119" s="116">
        <v>95799</v>
      </c>
      <c r="J119" s="116">
        <v>100302</v>
      </c>
      <c r="K119" s="116">
        <v>105015</v>
      </c>
      <c r="L119" s="90"/>
      <c r="M119" s="113"/>
      <c r="N119" s="231"/>
      <c r="O119" s="232"/>
      <c r="P119" s="116"/>
      <c r="Q119" s="116"/>
      <c r="R119" s="116"/>
      <c r="S119" s="116"/>
      <c r="T119" s="116"/>
      <c r="U119" s="116"/>
      <c r="V119" s="116"/>
      <c r="W119" s="116"/>
      <c r="X119" s="116"/>
      <c r="Y119" s="116"/>
      <c r="Z119" s="116"/>
      <c r="AA119" s="116"/>
    </row>
    <row r="120" spans="1:27" x14ac:dyDescent="0.25">
      <c r="A120" s="71"/>
      <c r="B120" s="110"/>
      <c r="C120" s="106" t="s">
        <v>23</v>
      </c>
      <c r="D120" s="111">
        <f>SUM(((D119*2%)+D119),((D119*2%)+D119)*0.8%)</f>
        <v>78286.158719999992</v>
      </c>
      <c r="E120" s="111">
        <f t="shared" ref="E120:K120" si="10">SUM(((E119*2%)+E119),((E119*2%)+E119)*0.8%)</f>
        <v>81966.971520000006</v>
      </c>
      <c r="F120" s="111">
        <f t="shared" si="10"/>
        <v>85818.458880000006</v>
      </c>
      <c r="G120" s="111">
        <f t="shared" si="10"/>
        <v>89852.958719999995</v>
      </c>
      <c r="H120" s="111">
        <f t="shared" si="10"/>
        <v>94076.64</v>
      </c>
      <c r="I120" s="111">
        <f t="shared" si="10"/>
        <v>98496.699840000001</v>
      </c>
      <c r="J120" s="111">
        <f t="shared" si="10"/>
        <v>103126.50431999999</v>
      </c>
      <c r="K120" s="111">
        <f t="shared" si="10"/>
        <v>107972.2224</v>
      </c>
      <c r="L120" s="111"/>
      <c r="M120" s="111"/>
      <c r="N120" s="111"/>
      <c r="O120" s="230"/>
      <c r="P120" s="116"/>
      <c r="Q120" s="116"/>
      <c r="R120" s="116"/>
      <c r="S120" s="116"/>
      <c r="T120" s="116"/>
      <c r="U120" s="116"/>
      <c r="V120" s="116"/>
      <c r="W120" s="116"/>
      <c r="X120" s="116"/>
      <c r="Y120" s="116"/>
      <c r="Z120" s="116"/>
      <c r="AA120" s="116"/>
    </row>
    <row r="121" spans="1:27" x14ac:dyDescent="0.25">
      <c r="A121" s="71"/>
      <c r="B121" s="110"/>
      <c r="C121" s="106" t="s">
        <v>24</v>
      </c>
      <c r="D121" s="111">
        <f>SUM(((D120*2%)+D120),((D120*2%)+D120)*0.2%)</f>
        <v>80011.585658188793</v>
      </c>
      <c r="E121" s="111">
        <f t="shared" ref="E121:K121" si="11">SUM(((E120*2%)+E120),((E120*2%)+E120)*0.2%)</f>
        <v>83773.523572300808</v>
      </c>
      <c r="F121" s="111">
        <f t="shared" si="11"/>
        <v>87709.897713715211</v>
      </c>
      <c r="G121" s="111">
        <f t="shared" si="11"/>
        <v>91833.317930188787</v>
      </c>
      <c r="H121" s="111">
        <f t="shared" si="11"/>
        <v>96150.089145599995</v>
      </c>
      <c r="I121" s="111">
        <f t="shared" si="11"/>
        <v>100667.56710447359</v>
      </c>
      <c r="J121" s="111">
        <f t="shared" si="11"/>
        <v>105399.4124752128</v>
      </c>
      <c r="K121" s="111">
        <f t="shared" si="11"/>
        <v>110351.93018169599</v>
      </c>
      <c r="L121" s="111"/>
      <c r="M121" s="111"/>
      <c r="N121" s="111"/>
      <c r="O121" s="230"/>
      <c r="P121" s="116"/>
      <c r="Q121" s="116"/>
      <c r="R121" s="116"/>
      <c r="S121" s="116"/>
      <c r="T121" s="116"/>
      <c r="U121" s="116"/>
      <c r="V121" s="116"/>
      <c r="W121" s="116"/>
      <c r="X121" s="116"/>
      <c r="Y121" s="116"/>
      <c r="Z121" s="116"/>
      <c r="AA121" s="116"/>
    </row>
    <row r="122" spans="1:27" x14ac:dyDescent="0.25">
      <c r="A122" s="71"/>
      <c r="B122" s="110"/>
      <c r="C122" s="106"/>
      <c r="D122" s="111"/>
      <c r="E122" s="111"/>
      <c r="F122" s="111"/>
      <c r="G122" s="111"/>
      <c r="H122" s="111"/>
      <c r="I122" s="111"/>
      <c r="J122" s="111"/>
      <c r="K122" s="111"/>
      <c r="L122" s="111"/>
      <c r="M122" s="111"/>
      <c r="N122" s="111"/>
      <c r="O122" s="230"/>
      <c r="P122" s="116"/>
      <c r="Q122" s="116"/>
      <c r="R122" s="116"/>
      <c r="S122" s="116"/>
      <c r="T122" s="116"/>
      <c r="U122" s="116"/>
      <c r="V122" s="116"/>
      <c r="W122" s="116"/>
      <c r="X122" s="116"/>
      <c r="Y122" s="116"/>
      <c r="Z122" s="116"/>
      <c r="AA122" s="116"/>
    </row>
    <row r="123" spans="1:27" x14ac:dyDescent="0.25">
      <c r="A123" s="71"/>
      <c r="B123" s="110"/>
      <c r="C123" s="106" t="s">
        <v>26</v>
      </c>
      <c r="D123" s="111">
        <f>SUM(((D121*1.5%)+D121))</f>
        <v>81211.75944306163</v>
      </c>
      <c r="E123" s="111">
        <f t="shared" ref="E123:K123" si="12">SUM(((E121*1.5%)+E121))</f>
        <v>85030.126425885319</v>
      </c>
      <c r="F123" s="111">
        <f t="shared" si="12"/>
        <v>89025.54617942094</v>
      </c>
      <c r="G123" s="111">
        <f t="shared" si="12"/>
        <v>93210.817699141626</v>
      </c>
      <c r="H123" s="111">
        <f t="shared" si="12"/>
        <v>97592.340482783999</v>
      </c>
      <c r="I123" s="111">
        <f t="shared" si="12"/>
        <v>102177.5806110407</v>
      </c>
      <c r="J123" s="111">
        <f t="shared" si="12"/>
        <v>106980.40366234099</v>
      </c>
      <c r="K123" s="111">
        <f t="shared" si="12"/>
        <v>112007.20913442143</v>
      </c>
      <c r="L123" s="111"/>
      <c r="M123" s="111"/>
      <c r="N123" s="111"/>
      <c r="O123" s="230"/>
      <c r="P123" s="116"/>
      <c r="Q123" s="116"/>
      <c r="R123" s="116"/>
      <c r="S123" s="116"/>
      <c r="T123" s="116"/>
      <c r="U123" s="116"/>
      <c r="V123" s="116"/>
      <c r="W123" s="116"/>
      <c r="X123" s="116"/>
      <c r="Y123" s="116"/>
      <c r="Z123" s="116"/>
      <c r="AA123" s="116"/>
    </row>
    <row r="124" spans="1:27" x14ac:dyDescent="0.25">
      <c r="A124" s="71"/>
      <c r="B124" s="110"/>
      <c r="C124" s="106" t="s">
        <v>27</v>
      </c>
      <c r="D124" s="111">
        <f>SUM(((D123*1.5%)+D123))</f>
        <v>82429.935834707561</v>
      </c>
      <c r="E124" s="111">
        <f t="shared" ref="E124:K124" si="13">SUM(((E123*1.5%)+E123))</f>
        <v>86305.578322273592</v>
      </c>
      <c r="F124" s="111">
        <f t="shared" si="13"/>
        <v>90360.929372112252</v>
      </c>
      <c r="G124" s="111">
        <f t="shared" si="13"/>
        <v>94608.979964628757</v>
      </c>
      <c r="H124" s="111">
        <f t="shared" si="13"/>
        <v>99056.225590025759</v>
      </c>
      <c r="I124" s="111">
        <f t="shared" si="13"/>
        <v>103710.24432020632</v>
      </c>
      <c r="J124" s="111">
        <f t="shared" si="13"/>
        <v>108585.10971727611</v>
      </c>
      <c r="K124" s="111">
        <f t="shared" si="13"/>
        <v>113687.31727143774</v>
      </c>
      <c r="L124" s="111"/>
      <c r="M124" s="111"/>
      <c r="N124" s="111"/>
      <c r="O124" s="230"/>
      <c r="P124" s="116"/>
      <c r="Q124" s="116"/>
      <c r="R124" s="116"/>
      <c r="S124" s="116"/>
      <c r="T124" s="116"/>
      <c r="U124" s="116"/>
      <c r="V124" s="116"/>
      <c r="W124" s="116"/>
      <c r="X124" s="116"/>
      <c r="Y124" s="116"/>
      <c r="Z124" s="116"/>
      <c r="AA124" s="116"/>
    </row>
    <row r="125" spans="1:27" x14ac:dyDescent="0.25">
      <c r="A125" s="71"/>
      <c r="B125" s="71"/>
      <c r="C125" s="114"/>
      <c r="D125" s="90"/>
      <c r="E125" s="90"/>
      <c r="F125" s="90"/>
      <c r="G125" s="90"/>
      <c r="H125" s="90"/>
      <c r="I125" s="90"/>
      <c r="J125" s="90"/>
      <c r="K125" s="90"/>
      <c r="L125" s="90"/>
      <c r="M125" s="90"/>
      <c r="N125" s="155"/>
      <c r="O125" s="116"/>
      <c r="P125" s="116"/>
      <c r="Q125" s="116"/>
      <c r="R125" s="116"/>
      <c r="S125" s="116"/>
      <c r="T125" s="116"/>
      <c r="U125" s="116"/>
      <c r="V125" s="116"/>
      <c r="W125" s="116"/>
      <c r="X125" s="116"/>
      <c r="Y125" s="116"/>
      <c r="Z125" s="116"/>
      <c r="AA125" s="116"/>
    </row>
    <row r="126" spans="1:27" ht="21" x14ac:dyDescent="0.35">
      <c r="A126" s="63" t="s">
        <v>74</v>
      </c>
      <c r="B126" s="71"/>
      <c r="C126" s="71"/>
      <c r="D126" s="71"/>
      <c r="E126" s="71"/>
      <c r="F126" s="71"/>
      <c r="G126" s="71"/>
      <c r="H126" s="71"/>
      <c r="I126" s="71"/>
      <c r="J126" s="71"/>
      <c r="K126" s="71"/>
      <c r="L126" s="71"/>
      <c r="M126" s="71"/>
      <c r="N126" s="116"/>
      <c r="O126" s="116"/>
      <c r="P126" s="116"/>
      <c r="Q126" s="116"/>
      <c r="R126" s="116"/>
      <c r="S126" s="116"/>
      <c r="T126" s="116"/>
      <c r="U126" s="116"/>
      <c r="V126" s="116"/>
      <c r="W126" s="116"/>
      <c r="X126" s="116"/>
      <c r="Y126" s="116"/>
      <c r="Z126" s="116"/>
      <c r="AA126" s="116"/>
    </row>
    <row r="127" spans="1:27" x14ac:dyDescent="0.25">
      <c r="A127" s="116"/>
      <c r="B127" s="71"/>
      <c r="C127" s="71"/>
      <c r="D127" s="109">
        <v>1</v>
      </c>
      <c r="E127" s="109">
        <v>2</v>
      </c>
      <c r="F127" s="109">
        <v>3</v>
      </c>
      <c r="G127" s="109">
        <v>4</v>
      </c>
      <c r="H127" s="109">
        <v>5</v>
      </c>
      <c r="I127" s="109">
        <v>6</v>
      </c>
      <c r="J127" s="109">
        <v>7</v>
      </c>
      <c r="K127" s="109">
        <v>8</v>
      </c>
      <c r="L127" s="71"/>
      <c r="M127" s="71"/>
      <c r="N127" s="71"/>
      <c r="O127" s="116"/>
      <c r="P127" s="116"/>
      <c r="Q127" s="116"/>
      <c r="R127" s="116"/>
      <c r="S127" s="116"/>
      <c r="T127" s="116"/>
      <c r="U127" s="116"/>
      <c r="V127" s="116"/>
      <c r="W127" s="116"/>
      <c r="X127" s="116"/>
      <c r="Y127" s="116"/>
      <c r="Z127" s="116"/>
      <c r="AA127" s="116"/>
    </row>
    <row r="128" spans="1:27" x14ac:dyDescent="0.25">
      <c r="A128" s="71"/>
      <c r="B128" s="71"/>
      <c r="C128" s="106" t="s">
        <v>1</v>
      </c>
      <c r="D128" s="115" t="b">
        <f t="shared" ref="D128:K133" si="14">IF($I$4="Select",0,IF($I$4=$B$107,D109,IF($I$4=$B$117,D119)))</f>
        <v>0</v>
      </c>
      <c r="E128" s="115" t="b">
        <f t="shared" si="14"/>
        <v>0</v>
      </c>
      <c r="F128" s="115" t="b">
        <f t="shared" si="14"/>
        <v>0</v>
      </c>
      <c r="G128" s="115" t="b">
        <f t="shared" si="14"/>
        <v>0</v>
      </c>
      <c r="H128" s="115" t="b">
        <f t="shared" si="14"/>
        <v>0</v>
      </c>
      <c r="I128" s="115" t="b">
        <f t="shared" si="14"/>
        <v>0</v>
      </c>
      <c r="J128" s="115" t="b">
        <f t="shared" si="14"/>
        <v>0</v>
      </c>
      <c r="K128" s="115" t="b">
        <f t="shared" si="14"/>
        <v>0</v>
      </c>
      <c r="L128" s="90"/>
      <c r="M128" s="90"/>
      <c r="N128" s="90"/>
      <c r="O128" s="116"/>
      <c r="P128" s="116"/>
      <c r="Q128" s="116"/>
      <c r="R128" s="116"/>
      <c r="S128" s="116"/>
      <c r="T128" s="116"/>
      <c r="U128" s="116"/>
      <c r="V128" s="116"/>
      <c r="W128" s="116"/>
      <c r="X128" s="116"/>
      <c r="Y128" s="116"/>
      <c r="Z128" s="116"/>
      <c r="AA128" s="116"/>
    </row>
    <row r="129" spans="1:27" x14ac:dyDescent="0.25">
      <c r="A129" s="71"/>
      <c r="B129" s="71"/>
      <c r="C129" s="106" t="s">
        <v>23</v>
      </c>
      <c r="D129" s="115" t="b">
        <f t="shared" si="14"/>
        <v>0</v>
      </c>
      <c r="E129" s="115" t="b">
        <f t="shared" si="14"/>
        <v>0</v>
      </c>
      <c r="F129" s="115" t="b">
        <f t="shared" si="14"/>
        <v>0</v>
      </c>
      <c r="G129" s="115" t="b">
        <f t="shared" si="14"/>
        <v>0</v>
      </c>
      <c r="H129" s="115" t="b">
        <f t="shared" si="14"/>
        <v>0</v>
      </c>
      <c r="I129" s="115" t="b">
        <f t="shared" si="14"/>
        <v>0</v>
      </c>
      <c r="J129" s="115" t="b">
        <f t="shared" si="14"/>
        <v>0</v>
      </c>
      <c r="K129" s="115" t="b">
        <f t="shared" si="14"/>
        <v>0</v>
      </c>
      <c r="L129" s="90"/>
      <c r="M129" s="90"/>
      <c r="N129" s="90"/>
      <c r="O129" s="116"/>
      <c r="P129" s="116"/>
      <c r="Q129" s="116"/>
      <c r="R129" s="116"/>
      <c r="S129" s="116"/>
      <c r="T129" s="116"/>
      <c r="U129" s="116"/>
      <c r="V129" s="116"/>
      <c r="W129" s="116"/>
      <c r="X129" s="116"/>
      <c r="Y129" s="116"/>
      <c r="Z129" s="116"/>
      <c r="AA129" s="116"/>
    </row>
    <row r="130" spans="1:27" x14ac:dyDescent="0.25">
      <c r="A130" s="71"/>
      <c r="B130" s="71"/>
      <c r="C130" s="106" t="s">
        <v>24</v>
      </c>
      <c r="D130" s="115" t="b">
        <f t="shared" si="14"/>
        <v>0</v>
      </c>
      <c r="E130" s="115" t="b">
        <f t="shared" si="14"/>
        <v>0</v>
      </c>
      <c r="F130" s="115" t="b">
        <f t="shared" si="14"/>
        <v>0</v>
      </c>
      <c r="G130" s="115" t="b">
        <f t="shared" si="14"/>
        <v>0</v>
      </c>
      <c r="H130" s="115" t="b">
        <f t="shared" si="14"/>
        <v>0</v>
      </c>
      <c r="I130" s="115" t="b">
        <f t="shared" si="14"/>
        <v>0</v>
      </c>
      <c r="J130" s="115" t="b">
        <f t="shared" si="14"/>
        <v>0</v>
      </c>
      <c r="K130" s="115" t="b">
        <f t="shared" si="14"/>
        <v>0</v>
      </c>
      <c r="L130" s="90"/>
      <c r="M130" s="90"/>
      <c r="N130" s="90"/>
      <c r="O130" s="116"/>
      <c r="P130" s="116"/>
      <c r="Q130" s="116"/>
      <c r="R130" s="116"/>
      <c r="S130" s="116"/>
      <c r="T130" s="116"/>
      <c r="U130" s="116"/>
      <c r="V130" s="116"/>
      <c r="W130" s="116"/>
      <c r="X130" s="116"/>
      <c r="Y130" s="116"/>
      <c r="Z130" s="116"/>
      <c r="AA130" s="116"/>
    </row>
    <row r="131" spans="1:27" x14ac:dyDescent="0.25">
      <c r="A131" s="71"/>
      <c r="B131" s="71"/>
      <c r="C131" s="106" t="s">
        <v>25</v>
      </c>
      <c r="D131" s="115" t="b">
        <f t="shared" si="14"/>
        <v>0</v>
      </c>
      <c r="E131" s="115" t="b">
        <f t="shared" si="14"/>
        <v>0</v>
      </c>
      <c r="F131" s="115" t="b">
        <f t="shared" si="14"/>
        <v>0</v>
      </c>
      <c r="G131" s="115" t="b">
        <f t="shared" si="14"/>
        <v>0</v>
      </c>
      <c r="H131" s="115" t="b">
        <f t="shared" si="14"/>
        <v>0</v>
      </c>
      <c r="I131" s="115" t="b">
        <f t="shared" si="14"/>
        <v>0</v>
      </c>
      <c r="J131" s="115" t="b">
        <f t="shared" si="14"/>
        <v>0</v>
      </c>
      <c r="K131" s="115" t="b">
        <f t="shared" si="14"/>
        <v>0</v>
      </c>
      <c r="L131" s="90"/>
      <c r="M131" s="90"/>
      <c r="N131" s="90"/>
      <c r="O131" s="116"/>
      <c r="P131" s="116"/>
      <c r="Q131" s="116"/>
      <c r="R131" s="116"/>
      <c r="S131" s="116"/>
      <c r="T131" s="116"/>
      <c r="U131" s="116"/>
      <c r="V131" s="116"/>
      <c r="W131" s="116"/>
      <c r="X131" s="116"/>
      <c r="Y131" s="116"/>
      <c r="Z131" s="116"/>
      <c r="AA131" s="116"/>
    </row>
    <row r="132" spans="1:27" x14ac:dyDescent="0.25">
      <c r="A132" s="71"/>
      <c r="B132" s="71"/>
      <c r="C132" s="106" t="s">
        <v>26</v>
      </c>
      <c r="D132" s="115" t="b">
        <f t="shared" si="14"/>
        <v>0</v>
      </c>
      <c r="E132" s="115" t="b">
        <f t="shared" si="14"/>
        <v>0</v>
      </c>
      <c r="F132" s="115" t="b">
        <f t="shared" si="14"/>
        <v>0</v>
      </c>
      <c r="G132" s="115" t="b">
        <f t="shared" si="14"/>
        <v>0</v>
      </c>
      <c r="H132" s="115" t="b">
        <f t="shared" si="14"/>
        <v>0</v>
      </c>
      <c r="I132" s="115" t="b">
        <f t="shared" si="14"/>
        <v>0</v>
      </c>
      <c r="J132" s="115" t="b">
        <f t="shared" si="14"/>
        <v>0</v>
      </c>
      <c r="K132" s="115" t="b">
        <f t="shared" si="14"/>
        <v>0</v>
      </c>
      <c r="L132" s="90"/>
      <c r="M132" s="90"/>
      <c r="N132" s="90"/>
      <c r="O132" s="116"/>
      <c r="P132" s="116"/>
      <c r="Q132" s="116"/>
      <c r="R132" s="116"/>
      <c r="S132" s="116"/>
      <c r="T132" s="116"/>
      <c r="U132" s="116"/>
      <c r="V132" s="116"/>
      <c r="W132" s="116"/>
      <c r="X132" s="116"/>
      <c r="Y132" s="116"/>
      <c r="Z132" s="116"/>
      <c r="AA132" s="116"/>
    </row>
    <row r="133" spans="1:27" x14ac:dyDescent="0.25">
      <c r="A133" s="116"/>
      <c r="B133" s="116"/>
      <c r="C133" s="106" t="s">
        <v>27</v>
      </c>
      <c r="D133" s="115" t="b">
        <f t="shared" si="14"/>
        <v>0</v>
      </c>
      <c r="E133" s="115" t="b">
        <f t="shared" si="14"/>
        <v>0</v>
      </c>
      <c r="F133" s="115" t="b">
        <f t="shared" si="14"/>
        <v>0</v>
      </c>
      <c r="G133" s="115" t="b">
        <f t="shared" si="14"/>
        <v>0</v>
      </c>
      <c r="H133" s="115" t="b">
        <f t="shared" si="14"/>
        <v>0</v>
      </c>
      <c r="I133" s="115" t="b">
        <f t="shared" si="14"/>
        <v>0</v>
      </c>
      <c r="J133" s="115" t="b">
        <f t="shared" si="14"/>
        <v>0</v>
      </c>
      <c r="K133" s="115" t="b">
        <f t="shared" si="14"/>
        <v>0</v>
      </c>
      <c r="L133" s="90"/>
      <c r="M133" s="90"/>
      <c r="N133" s="90"/>
      <c r="O133" s="116"/>
      <c r="P133" s="116"/>
      <c r="Q133" s="116"/>
      <c r="R133" s="116"/>
      <c r="S133" s="116"/>
      <c r="T133" s="116"/>
      <c r="U133" s="116"/>
      <c r="V133" s="116"/>
      <c r="W133" s="116"/>
      <c r="X133" s="116"/>
      <c r="Y133" s="116"/>
      <c r="Z133" s="116"/>
      <c r="AA133" s="116"/>
    </row>
    <row r="134" spans="1:27" x14ac:dyDescent="0.25">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row>
    <row r="135" spans="1:27" x14ac:dyDescent="0.25">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row>
    <row r="136" spans="1:27" ht="21" x14ac:dyDescent="0.35">
      <c r="A136" s="63" t="s">
        <v>73</v>
      </c>
      <c r="B136" s="71"/>
      <c r="C136" s="71"/>
      <c r="D136" s="71"/>
      <c r="E136" s="71"/>
      <c r="F136" s="71"/>
      <c r="G136" s="71"/>
      <c r="H136" s="71"/>
      <c r="I136" s="71"/>
      <c r="J136" s="71"/>
      <c r="K136" s="71"/>
      <c r="L136" s="71"/>
      <c r="M136" s="71"/>
      <c r="N136" s="116"/>
      <c r="O136" s="116"/>
      <c r="P136" s="116"/>
      <c r="Q136" s="116"/>
      <c r="R136" s="116"/>
      <c r="S136" s="116"/>
      <c r="T136" s="116"/>
      <c r="U136" s="116"/>
      <c r="V136" s="116"/>
      <c r="W136" s="116"/>
      <c r="X136" s="116"/>
      <c r="Y136" s="116"/>
      <c r="Z136" s="116"/>
      <c r="AA136" s="116"/>
    </row>
    <row r="137" spans="1:27" ht="21" x14ac:dyDescent="0.35">
      <c r="A137" s="63" t="s">
        <v>118</v>
      </c>
      <c r="B137" s="71"/>
      <c r="C137" s="71"/>
      <c r="D137" s="71"/>
      <c r="E137" s="71"/>
      <c r="F137" s="71"/>
      <c r="G137" s="71"/>
      <c r="H137" s="71"/>
      <c r="I137" s="71"/>
      <c r="J137" s="71"/>
      <c r="K137" s="71"/>
      <c r="L137" s="71"/>
      <c r="M137" s="71"/>
      <c r="N137" s="116"/>
      <c r="O137" s="116"/>
      <c r="P137" s="116"/>
      <c r="Q137" s="116"/>
      <c r="R137" s="116"/>
      <c r="S137" s="116"/>
      <c r="T137" s="116"/>
      <c r="U137" s="116"/>
      <c r="V137" s="116"/>
      <c r="W137" s="116"/>
      <c r="X137" s="116"/>
      <c r="Y137" s="116"/>
      <c r="Z137" s="116"/>
      <c r="AA137" s="116"/>
    </row>
    <row r="138" spans="1:27" x14ac:dyDescent="0.25">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row>
    <row r="139" spans="1:27" x14ac:dyDescent="0.25">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row>
    <row r="140" spans="1:27" ht="28.5" x14ac:dyDescent="0.45">
      <c r="A140" s="67" t="s">
        <v>11</v>
      </c>
      <c r="B140" s="334">
        <v>43230</v>
      </c>
      <c r="C140" s="334"/>
      <c r="D140" s="335" t="s">
        <v>12</v>
      </c>
      <c r="E140" s="335"/>
      <c r="F140" s="335"/>
      <c r="G140" s="335"/>
      <c r="H140" s="336" t="e">
        <f>SUM(((J11*2%)+J11),((J11*2%)+J11)*0.8%)</f>
        <v>#VALUE!</v>
      </c>
      <c r="I140" s="336"/>
      <c r="J140" s="337"/>
      <c r="K140" s="337"/>
      <c r="L140" s="337"/>
      <c r="M140" s="337"/>
      <c r="N140" s="116"/>
      <c r="O140" s="116"/>
      <c r="P140" s="116"/>
      <c r="Q140" s="116"/>
      <c r="R140" s="116"/>
      <c r="S140" s="116"/>
      <c r="T140" s="116"/>
      <c r="U140" s="116"/>
      <c r="V140" s="116"/>
      <c r="W140" s="116"/>
      <c r="X140" s="116"/>
      <c r="Y140" s="116"/>
      <c r="Z140" s="116"/>
      <c r="AA140" s="116"/>
    </row>
    <row r="141" spans="1:27" ht="15.75" x14ac:dyDescent="0.25">
      <c r="A141" s="68" t="s">
        <v>91</v>
      </c>
      <c r="B141" s="116"/>
      <c r="C141" s="69" t="e">
        <f>EDATE(C142,-6)</f>
        <v>#NUM!</v>
      </c>
      <c r="D141" s="116"/>
      <c r="E141" s="69"/>
      <c r="F141" s="365" t="e">
        <f>IF(LARGE(LP01_A,1)=H140,"Top of pay scale reached. ","Move up a lockstep step")</f>
        <v>#NUM!</v>
      </c>
      <c r="G141" s="365"/>
      <c r="H141" s="336" t="e">
        <f>IF(COUNTIF(LP01_A,"&gt;"&amp;H54)&gt;=1,LARGE(LP01_A,COUNTIF(LP01_A,"&gt;"&amp;H54)),H54)</f>
        <v>#VALUE!</v>
      </c>
      <c r="I141" s="336"/>
      <c r="J141" s="116"/>
      <c r="K141" s="116"/>
      <c r="L141" s="66"/>
      <c r="M141" s="66"/>
      <c r="N141" s="116"/>
      <c r="O141" s="116"/>
      <c r="P141" s="116"/>
      <c r="Q141" s="116"/>
      <c r="R141" s="116"/>
      <c r="S141" s="116"/>
      <c r="T141" s="116"/>
      <c r="U141" s="116"/>
      <c r="V141" s="116"/>
      <c r="W141" s="116"/>
      <c r="X141" s="116"/>
      <c r="Y141" s="116"/>
      <c r="Z141" s="116"/>
      <c r="AA141" s="116"/>
    </row>
    <row r="142" spans="1:27" ht="15.75" x14ac:dyDescent="0.25">
      <c r="A142" s="334" t="s">
        <v>13</v>
      </c>
      <c r="B142" s="334"/>
      <c r="C142" s="217" t="e">
        <f>DATE(L120,K120,J121)</f>
        <v>#NUM!</v>
      </c>
      <c r="D142" s="64"/>
      <c r="E142" s="353" t="e">
        <f>IF(LARGE(LP01_A,1)=H141,"Top of pay scale reached. ","Move up a lockstep step")</f>
        <v>#NUM!</v>
      </c>
      <c r="F142" s="353"/>
      <c r="G142" s="353"/>
      <c r="H142" s="336" t="e">
        <f>IF(COUNTIF(LP01_A,"&gt;"&amp;H55)&gt;=1,LARGE(LP01_A,COUNTIF(LP01_A,"&gt;"&amp;H55)),H55)</f>
        <v>#VALUE!</v>
      </c>
      <c r="I142" s="336"/>
      <c r="J142" s="71"/>
      <c r="K142" s="71"/>
      <c r="L142" s="70"/>
      <c r="M142" s="71"/>
      <c r="N142" s="116"/>
      <c r="O142" s="116"/>
      <c r="P142" s="116"/>
      <c r="Q142" s="116"/>
      <c r="R142" s="116"/>
      <c r="S142" s="116"/>
      <c r="T142" s="116"/>
      <c r="U142" s="116"/>
      <c r="V142" s="116"/>
      <c r="W142" s="116"/>
      <c r="X142" s="116"/>
      <c r="Y142" s="116"/>
      <c r="Z142" s="116"/>
      <c r="AA142" s="116"/>
    </row>
    <row r="143" spans="1:27" ht="28.5" x14ac:dyDescent="0.45">
      <c r="A143" s="67"/>
      <c r="B143" s="64"/>
      <c r="C143" s="64"/>
      <c r="D143" s="64"/>
      <c r="E143" s="64"/>
      <c r="F143" s="64"/>
      <c r="G143" s="64"/>
      <c r="H143" s="74" t="e">
        <f>IF(LARGE(LP01_A,1)=H141,SUM(H142*J125),"0")</f>
        <v>#NUM!</v>
      </c>
      <c r="I143" s="354" t="e">
        <f>IF(LARGE(LP01_A,1)=H141,"Lump sum performance award","Lump sum not applicable")</f>
        <v>#NUM!</v>
      </c>
      <c r="J143" s="354"/>
      <c r="K143" s="354"/>
      <c r="L143" s="74"/>
      <c r="M143" s="74"/>
      <c r="N143" s="116"/>
      <c r="O143" s="116"/>
      <c r="P143" s="116"/>
      <c r="Q143" s="116"/>
      <c r="R143" s="116"/>
      <c r="S143" s="116"/>
      <c r="T143" s="116"/>
      <c r="U143" s="116"/>
      <c r="V143" s="116"/>
      <c r="W143" s="116"/>
      <c r="X143" s="116"/>
      <c r="Y143" s="116"/>
      <c r="Z143" s="116"/>
      <c r="AA143" s="116"/>
    </row>
    <row r="144" spans="1:27" ht="28.5" x14ac:dyDescent="0.45">
      <c r="A144" s="67" t="s">
        <v>14</v>
      </c>
      <c r="B144" s="352">
        <v>43595</v>
      </c>
      <c r="C144" s="352"/>
      <c r="D144" s="335" t="s">
        <v>15</v>
      </c>
      <c r="E144" s="335"/>
      <c r="F144" s="335"/>
      <c r="G144" s="335"/>
      <c r="H144" s="336" t="e">
        <f>SUM(((H142*2%)+H142),((H142*2%)+H142)*0.2%)</f>
        <v>#VALUE!</v>
      </c>
      <c r="I144" s="336"/>
      <c r="J144" s="66"/>
      <c r="K144" s="66"/>
      <c r="L144" s="66"/>
      <c r="M144" s="66"/>
      <c r="N144" s="116"/>
      <c r="O144" s="116"/>
      <c r="P144" s="116"/>
      <c r="Q144" s="116"/>
      <c r="R144" s="116"/>
      <c r="S144" s="116"/>
      <c r="T144" s="116"/>
      <c r="U144" s="116"/>
      <c r="V144" s="116"/>
      <c r="W144" s="116"/>
      <c r="X144" s="116"/>
      <c r="Y144" s="116"/>
      <c r="Z144" s="116"/>
      <c r="AA144" s="116"/>
    </row>
    <row r="145" spans="1:27" ht="28.5" x14ac:dyDescent="0.45">
      <c r="A145" s="67"/>
      <c r="B145" s="85"/>
      <c r="C145" s="85"/>
      <c r="D145" s="77"/>
      <c r="E145" s="77"/>
      <c r="F145" s="77"/>
      <c r="G145" s="77"/>
      <c r="H145" s="116"/>
      <c r="I145" s="116"/>
      <c r="J145" s="116"/>
      <c r="K145" s="116"/>
      <c r="L145" s="66"/>
      <c r="M145" s="66"/>
      <c r="N145" s="116"/>
      <c r="O145" s="116"/>
      <c r="P145" s="116"/>
      <c r="Q145" s="116"/>
      <c r="R145" s="116"/>
      <c r="S145" s="116"/>
      <c r="T145" s="116"/>
      <c r="U145" s="116"/>
      <c r="V145" s="116"/>
      <c r="W145" s="116"/>
      <c r="X145" s="116"/>
      <c r="Y145" s="116"/>
      <c r="Z145" s="116"/>
      <c r="AA145" s="116"/>
    </row>
    <row r="146" spans="1:27" ht="15.75" x14ac:dyDescent="0.25">
      <c r="A146" s="68" t="s">
        <v>91</v>
      </c>
      <c r="B146" s="116"/>
      <c r="C146" s="69" t="e">
        <f>EDATE(C147,-6)</f>
        <v>#NUM!</v>
      </c>
      <c r="D146" s="116"/>
      <c r="E146" s="69"/>
      <c r="F146" s="365" t="e">
        <f>IF(LARGE(LP01_B,1)=H144,"Top of pay scale reached. ","Move up a lockstep step")</f>
        <v>#NUM!</v>
      </c>
      <c r="G146" s="365"/>
      <c r="H146" s="336" t="e">
        <f>IF(COUNTIF(LP01_B,"&gt;"&amp;H144)&gt;=1,LARGE(LP01_B,COUNTIF(LP01_B,"&gt;"&amp;H144)),H144)</f>
        <v>#VALUE!</v>
      </c>
      <c r="I146" s="336"/>
      <c r="J146" s="66"/>
      <c r="K146" s="66"/>
      <c r="L146" s="66"/>
      <c r="M146" s="66"/>
      <c r="N146" s="116"/>
      <c r="O146" s="116"/>
      <c r="P146" s="116"/>
      <c r="Q146" s="116"/>
      <c r="R146" s="116"/>
      <c r="S146" s="116"/>
      <c r="T146" s="116"/>
      <c r="U146" s="116"/>
      <c r="V146" s="116"/>
      <c r="W146" s="116"/>
      <c r="X146" s="116"/>
      <c r="Y146" s="116"/>
      <c r="Z146" s="116"/>
      <c r="AA146" s="116"/>
    </row>
    <row r="147" spans="1:27" ht="15.75" x14ac:dyDescent="0.25">
      <c r="A147" s="334" t="s">
        <v>13</v>
      </c>
      <c r="B147" s="334"/>
      <c r="C147" s="91" t="e">
        <f>DATE(L121,K120,J121)</f>
        <v>#NUM!</v>
      </c>
      <c r="D147" s="64"/>
      <c r="E147" s="335" t="e">
        <f>IF(LARGE(LP01_B,1)=H146,"Top of pay scale reached. ","Move up a lockstep step")</f>
        <v>#NUM!</v>
      </c>
      <c r="F147" s="335"/>
      <c r="G147" s="335"/>
      <c r="H147" s="336" t="e">
        <f>IF(COUNTIF(LP01_B,"&gt;"&amp;H146)&gt;=1,LARGE(LP01_B,COUNTIF(LP01_B,"&gt;"&amp;H146)),H146)</f>
        <v>#VALUE!</v>
      </c>
      <c r="I147" s="336"/>
      <c r="J147" s="76"/>
      <c r="K147" s="76"/>
      <c r="L147" s="76"/>
      <c r="M147" s="76"/>
      <c r="N147" s="116"/>
      <c r="O147" s="116"/>
      <c r="P147" s="116"/>
      <c r="Q147" s="116"/>
      <c r="R147" s="116"/>
      <c r="S147" s="116"/>
      <c r="T147" s="116"/>
      <c r="U147" s="116"/>
      <c r="V147" s="116"/>
      <c r="W147" s="116"/>
      <c r="X147" s="116"/>
      <c r="Y147" s="116"/>
      <c r="Z147" s="116"/>
      <c r="AA147" s="116"/>
    </row>
    <row r="148" spans="1:27" ht="28.5" x14ac:dyDescent="0.45">
      <c r="A148" s="67"/>
      <c r="B148" s="64"/>
      <c r="C148" s="64"/>
      <c r="D148" s="64"/>
      <c r="E148" s="65"/>
      <c r="F148" s="65"/>
      <c r="G148" s="78"/>
      <c r="H148" s="81" t="e">
        <f>IF(LARGE(LP01_B,1)=H146,SUM(H147*J126),"0")</f>
        <v>#NUM!</v>
      </c>
      <c r="I148" s="363" t="e">
        <f>IF(LARGE(LP01_B,1)=H146,"Lump sum performance award","Lump sum not applicable")</f>
        <v>#NUM!</v>
      </c>
      <c r="J148" s="363"/>
      <c r="K148" s="363"/>
      <c r="L148" s="66"/>
      <c r="M148" s="66"/>
      <c r="N148" s="116"/>
      <c r="O148" s="116"/>
      <c r="P148" s="116"/>
      <c r="Q148" s="116"/>
      <c r="R148" s="116"/>
      <c r="S148" s="116"/>
      <c r="T148" s="116"/>
      <c r="U148" s="116"/>
      <c r="V148" s="116"/>
      <c r="W148" s="116"/>
      <c r="X148" s="116"/>
      <c r="Y148" s="116"/>
      <c r="Z148" s="116"/>
      <c r="AA148" s="116"/>
    </row>
    <row r="149" spans="1:27" ht="28.5" x14ac:dyDescent="0.45">
      <c r="A149" s="67"/>
      <c r="B149" s="79"/>
      <c r="C149" s="79"/>
      <c r="D149" s="80"/>
      <c r="E149" s="80"/>
      <c r="F149" s="80"/>
      <c r="G149" s="80"/>
      <c r="H149" s="116"/>
      <c r="I149" s="116"/>
      <c r="J149" s="116"/>
      <c r="K149" s="116"/>
      <c r="L149" s="81"/>
      <c r="M149" s="81"/>
      <c r="N149" s="116"/>
      <c r="O149" s="116"/>
      <c r="P149" s="116"/>
      <c r="Q149" s="116"/>
      <c r="R149" s="116"/>
      <c r="S149" s="116"/>
      <c r="T149" s="116"/>
      <c r="U149" s="116"/>
      <c r="V149" s="116"/>
      <c r="W149" s="116"/>
      <c r="X149" s="116"/>
      <c r="Y149" s="116"/>
      <c r="Z149" s="116"/>
      <c r="AA149" s="116"/>
    </row>
    <row r="150" spans="1:27" ht="28.5" x14ac:dyDescent="0.45">
      <c r="A150" s="67"/>
      <c r="B150" s="352"/>
      <c r="C150" s="352"/>
      <c r="D150" s="370"/>
      <c r="E150" s="335"/>
      <c r="F150" s="335"/>
      <c r="G150" s="335"/>
      <c r="H150" s="371"/>
      <c r="I150" s="371"/>
      <c r="J150" s="81"/>
      <c r="K150" s="81"/>
      <c r="L150" s="81"/>
      <c r="M150" s="81"/>
      <c r="N150" s="116"/>
      <c r="O150" s="116"/>
      <c r="P150" s="116"/>
      <c r="Q150" s="116"/>
      <c r="R150" s="116"/>
      <c r="S150" s="116"/>
      <c r="T150" s="116"/>
      <c r="U150" s="116"/>
      <c r="V150" s="116"/>
      <c r="W150" s="116"/>
      <c r="X150" s="116"/>
      <c r="Y150" s="116"/>
      <c r="Z150" s="116"/>
      <c r="AA150" s="116"/>
    </row>
    <row r="151" spans="1:27" ht="28.5" x14ac:dyDescent="0.45">
      <c r="A151" s="67" t="s">
        <v>16</v>
      </c>
      <c r="B151" s="352">
        <v>43961</v>
      </c>
      <c r="C151" s="352"/>
      <c r="D151" s="335" t="s">
        <v>2</v>
      </c>
      <c r="E151" s="335"/>
      <c r="F151" s="335"/>
      <c r="G151" s="335"/>
      <c r="H151" s="336" t="e">
        <f>(H147*1.5%)+H147</f>
        <v>#VALUE!</v>
      </c>
      <c r="I151" s="336"/>
      <c r="J151" s="66"/>
      <c r="K151" s="66"/>
      <c r="L151" s="66"/>
      <c r="M151" s="66"/>
      <c r="N151" s="116"/>
      <c r="O151" s="116"/>
      <c r="P151" s="116"/>
      <c r="Q151" s="116"/>
      <c r="R151" s="116"/>
      <c r="S151" s="116"/>
      <c r="T151" s="116"/>
      <c r="U151" s="116"/>
      <c r="V151" s="116"/>
      <c r="W151" s="116"/>
      <c r="X151" s="116"/>
      <c r="Y151" s="116"/>
      <c r="Z151" s="116"/>
      <c r="AA151" s="116"/>
    </row>
    <row r="152" spans="1:27" ht="28.5" x14ac:dyDescent="0.45">
      <c r="A152" s="67"/>
      <c r="B152" s="85"/>
      <c r="C152" s="85"/>
      <c r="D152" s="77"/>
      <c r="E152" s="77"/>
      <c r="F152" s="77"/>
      <c r="G152" s="77"/>
      <c r="H152" s="116"/>
      <c r="I152" s="116"/>
      <c r="J152" s="116"/>
      <c r="K152" s="116"/>
      <c r="L152" s="66"/>
      <c r="M152" s="66"/>
      <c r="N152" s="116"/>
      <c r="O152" s="116"/>
      <c r="P152" s="116"/>
      <c r="Q152" s="116"/>
      <c r="R152" s="116"/>
      <c r="S152" s="116"/>
      <c r="T152" s="116"/>
      <c r="U152" s="116"/>
      <c r="V152" s="116"/>
      <c r="W152" s="116"/>
      <c r="X152" s="116"/>
      <c r="Y152" s="116"/>
      <c r="Z152" s="116"/>
      <c r="AA152" s="116"/>
    </row>
    <row r="153" spans="1:27" ht="15.75" x14ac:dyDescent="0.25">
      <c r="A153" s="68" t="s">
        <v>91</v>
      </c>
      <c r="B153" s="116"/>
      <c r="C153" s="69" t="e">
        <f>EDATE(C154,-6)</f>
        <v>#NUM!</v>
      </c>
      <c r="D153" s="116"/>
      <c r="E153" s="69"/>
      <c r="F153" s="365" t="e">
        <f>IF(LARGE(LP01_C,1)=H151,"Top of pay scale reached. ","Move up a lockstep step")</f>
        <v>#NUM!</v>
      </c>
      <c r="G153" s="365"/>
      <c r="H153" s="336" t="e">
        <f>IF(COUNTIF(LP01_C,"&gt;"&amp;H151)&gt;=1,LARGE(LP01_C,COUNTIF(LP01_C,"&gt;"&amp;H151)),H151)</f>
        <v>#VALUE!</v>
      </c>
      <c r="I153" s="336"/>
      <c r="J153" s="66"/>
      <c r="K153" s="66"/>
      <c r="L153" s="66"/>
      <c r="M153" s="66"/>
      <c r="N153" s="116"/>
      <c r="O153" s="116"/>
      <c r="P153" s="116"/>
      <c r="Q153" s="116"/>
      <c r="R153" s="116"/>
      <c r="S153" s="116"/>
      <c r="T153" s="116"/>
      <c r="U153" s="116"/>
      <c r="V153" s="116"/>
      <c r="W153" s="116"/>
      <c r="X153" s="116"/>
      <c r="Y153" s="116"/>
      <c r="Z153" s="116"/>
      <c r="AA153" s="116"/>
    </row>
    <row r="154" spans="1:27" ht="15.75" x14ac:dyDescent="0.25">
      <c r="A154" s="334" t="s">
        <v>13</v>
      </c>
      <c r="B154" s="334"/>
      <c r="C154" s="91" t="e">
        <f>DATE(L122,K120,J121)</f>
        <v>#NUM!</v>
      </c>
      <c r="D154" s="64"/>
      <c r="E154" s="335" t="e">
        <f>IF(LARGE(LP01_C,1)=H153,"Top of pay scale reached. ","Move up a lockstep step")</f>
        <v>#NUM!</v>
      </c>
      <c r="F154" s="335"/>
      <c r="G154" s="335"/>
      <c r="H154" s="336" t="e">
        <f>IF(COUNTIF(LP01_C,"&gt;"&amp;H153)&gt;=1,LARGE(LP01_C,COUNTIF(LP01_C,"&gt;"&amp;H153)),H153)</f>
        <v>#VALUE!</v>
      </c>
      <c r="I154" s="336"/>
      <c r="J154" s="337"/>
      <c r="K154" s="337"/>
      <c r="L154" s="337"/>
      <c r="M154" s="337"/>
      <c r="N154" s="116"/>
      <c r="O154" s="116"/>
      <c r="P154" s="116"/>
      <c r="Q154" s="116"/>
      <c r="R154" s="116"/>
      <c r="S154" s="116"/>
      <c r="T154" s="116"/>
      <c r="U154" s="116"/>
      <c r="V154" s="116"/>
      <c r="W154" s="116"/>
      <c r="X154" s="116"/>
      <c r="Y154" s="116"/>
      <c r="Z154" s="116"/>
      <c r="AA154" s="116"/>
    </row>
    <row r="155" spans="1:27" ht="28.5" x14ac:dyDescent="0.45">
      <c r="A155" s="67"/>
      <c r="B155" s="71"/>
      <c r="C155" s="64"/>
      <c r="D155" s="80"/>
      <c r="E155" s="80"/>
      <c r="F155" s="80"/>
      <c r="G155" s="80"/>
      <c r="H155" s="81" t="e">
        <f>IF(LARGE(LP01_C,1)=H153,SUM(H154*J127),"0")</f>
        <v>#NUM!</v>
      </c>
      <c r="I155" s="363" t="e">
        <f>IF(LARGE(LP01_C,1)=H153,"Lump sum performance award","Lump sum not applicable")</f>
        <v>#NUM!</v>
      </c>
      <c r="J155" s="363"/>
      <c r="K155" s="363"/>
      <c r="L155" s="84"/>
      <c r="M155" s="84"/>
      <c r="N155" s="116"/>
      <c r="O155" s="116"/>
      <c r="P155" s="116"/>
      <c r="Q155" s="116"/>
      <c r="R155" s="116"/>
      <c r="S155" s="116"/>
      <c r="T155" s="116"/>
      <c r="U155" s="116"/>
      <c r="V155" s="116"/>
      <c r="W155" s="116"/>
      <c r="X155" s="116"/>
      <c r="Y155" s="116"/>
      <c r="Z155" s="116"/>
      <c r="AA155" s="116"/>
    </row>
    <row r="156" spans="1:27" ht="28.5" x14ac:dyDescent="0.45">
      <c r="A156" s="67" t="s">
        <v>17</v>
      </c>
      <c r="B156" s="352">
        <v>44326</v>
      </c>
      <c r="C156" s="352"/>
      <c r="D156" s="335" t="s">
        <v>2</v>
      </c>
      <c r="E156" s="335"/>
      <c r="F156" s="335"/>
      <c r="G156" s="335"/>
      <c r="H156" s="364" t="e">
        <f>(H154*1.5%)+H154</f>
        <v>#VALUE!</v>
      </c>
      <c r="I156" s="336"/>
      <c r="J156" s="66"/>
      <c r="K156" s="66"/>
      <c r="L156" s="66"/>
      <c r="M156" s="66"/>
      <c r="N156" s="116"/>
      <c r="O156" s="116"/>
      <c r="P156" s="116"/>
      <c r="Q156" s="116"/>
      <c r="R156" s="116"/>
      <c r="S156" s="116"/>
      <c r="T156" s="116"/>
      <c r="U156" s="116"/>
      <c r="V156" s="116"/>
      <c r="W156" s="116"/>
      <c r="X156" s="116"/>
      <c r="Y156" s="116"/>
      <c r="Z156" s="116"/>
      <c r="AA156" s="116"/>
    </row>
    <row r="157" spans="1:27" ht="28.5" x14ac:dyDescent="0.45">
      <c r="A157" s="67"/>
      <c r="B157" s="85"/>
      <c r="C157" s="85"/>
      <c r="D157" s="77"/>
      <c r="E157" s="77"/>
      <c r="F157" s="77"/>
      <c r="G157" s="77"/>
      <c r="H157" s="116"/>
      <c r="I157" s="116"/>
      <c r="J157" s="116"/>
      <c r="K157" s="116"/>
      <c r="L157" s="66"/>
      <c r="M157" s="66"/>
      <c r="N157" s="116"/>
      <c r="O157" s="116"/>
      <c r="P157" s="116"/>
      <c r="Q157" s="116"/>
      <c r="R157" s="116"/>
      <c r="S157" s="116"/>
      <c r="T157" s="116"/>
      <c r="U157" s="116"/>
      <c r="V157" s="116"/>
      <c r="W157" s="116"/>
      <c r="X157" s="116"/>
      <c r="Y157" s="116"/>
      <c r="Z157" s="116"/>
      <c r="AA157" s="116"/>
    </row>
    <row r="158" spans="1:27" ht="15.75" x14ac:dyDescent="0.25">
      <c r="A158" s="68" t="s">
        <v>91</v>
      </c>
      <c r="B158" s="116"/>
      <c r="C158" s="69" t="e">
        <f>EDATE(C159,-6)</f>
        <v>#NUM!</v>
      </c>
      <c r="D158" s="116"/>
      <c r="E158" s="69"/>
      <c r="F158" s="365" t="e">
        <f>IF(LARGE(LP01_D,1)=H156,"Top of pay scale reached. ","Move up a lockstep step")</f>
        <v>#NUM!</v>
      </c>
      <c r="G158" s="365"/>
      <c r="H158" s="336" t="e">
        <f>IF(COUNTIF(LP01_D,"&gt;"&amp;H156)&gt;=1,LARGE(LP01_D,COUNTIF(LP01_D,"&gt;"&amp;H156)),H156)</f>
        <v>#VALUE!</v>
      </c>
      <c r="I158" s="336"/>
      <c r="J158" s="66"/>
      <c r="K158" s="66"/>
      <c r="L158" s="66"/>
      <c r="M158" s="66"/>
      <c r="N158" s="116"/>
      <c r="O158" s="116"/>
      <c r="P158" s="116"/>
      <c r="Q158" s="116"/>
      <c r="R158" s="116"/>
      <c r="S158" s="116"/>
      <c r="T158" s="116"/>
      <c r="U158" s="116"/>
      <c r="V158" s="116"/>
      <c r="W158" s="116"/>
      <c r="X158" s="116"/>
      <c r="Y158" s="116"/>
      <c r="Z158" s="116"/>
      <c r="AA158" s="116"/>
    </row>
    <row r="159" spans="1:27" ht="15.75" x14ac:dyDescent="0.25">
      <c r="A159" s="334" t="s">
        <v>13</v>
      </c>
      <c r="B159" s="334"/>
      <c r="C159" s="91" t="e">
        <f>DATE(L123,K120,J121)</f>
        <v>#NUM!</v>
      </c>
      <c r="D159" s="64"/>
      <c r="E159" s="335" t="e">
        <f>IF(LARGE(LP01_D,1)=H158,"Top of pay scale reached. ","Move up a lockstep step")</f>
        <v>#NUM!</v>
      </c>
      <c r="F159" s="335"/>
      <c r="G159" s="335"/>
      <c r="H159" s="336" t="e">
        <f>IF(COUNTIF(LP01_D,"&gt;"&amp;H158)&gt;=1,LARGE(LP01_D,COUNTIF(LP01_D,"&gt;"&amp;H158)),H158)</f>
        <v>#VALUE!</v>
      </c>
      <c r="I159" s="336"/>
      <c r="J159" s="66"/>
      <c r="K159" s="66"/>
      <c r="L159" s="66"/>
      <c r="M159" s="66"/>
      <c r="N159" s="116"/>
      <c r="O159" s="116"/>
      <c r="P159" s="116"/>
      <c r="Q159" s="116"/>
      <c r="R159" s="116"/>
      <c r="S159" s="116"/>
      <c r="T159" s="116"/>
      <c r="U159" s="116"/>
      <c r="V159" s="116"/>
      <c r="W159" s="116"/>
      <c r="X159" s="116"/>
      <c r="Y159" s="116"/>
      <c r="Z159" s="116"/>
      <c r="AA159" s="116"/>
    </row>
    <row r="160" spans="1:27" x14ac:dyDescent="0.25">
      <c r="A160" s="71"/>
      <c r="B160" s="71"/>
      <c r="C160" s="64"/>
      <c r="D160" s="80"/>
      <c r="E160" s="80"/>
      <c r="F160" s="80"/>
      <c r="G160" s="80"/>
      <c r="H160" s="81" t="e">
        <f>IF(LARGE(LP01_D,1)=H158,SUM(H159*J128),"0")</f>
        <v>#NUM!</v>
      </c>
      <c r="I160" s="363" t="e">
        <f>IF(LARGE(LP01_D,1)=H158,"Lump sum performance award","Lump sum not applicable")</f>
        <v>#NUM!</v>
      </c>
      <c r="J160" s="363"/>
      <c r="K160" s="363"/>
      <c r="L160" s="76"/>
      <c r="M160" s="76"/>
      <c r="N160" s="116"/>
      <c r="O160" s="116"/>
      <c r="P160" s="116"/>
      <c r="Q160" s="116"/>
      <c r="R160" s="116"/>
      <c r="S160" s="116"/>
      <c r="T160" s="116"/>
      <c r="U160" s="116"/>
      <c r="V160" s="116"/>
      <c r="W160" s="116"/>
      <c r="X160" s="116"/>
      <c r="Y160" s="116"/>
      <c r="Z160" s="116"/>
      <c r="AA160" s="116"/>
    </row>
    <row r="161" spans="1:27" x14ac:dyDescent="0.25">
      <c r="A161" s="71"/>
      <c r="B161" s="352">
        <v>44690</v>
      </c>
      <c r="C161" s="352"/>
      <c r="D161" s="353" t="s">
        <v>18</v>
      </c>
      <c r="E161" s="353"/>
      <c r="F161" s="353"/>
      <c r="G161" s="353"/>
      <c r="H161" s="81"/>
      <c r="I161" s="81"/>
      <c r="J161" s="81"/>
      <c r="K161" s="76"/>
      <c r="L161" s="76"/>
      <c r="M161" s="76"/>
      <c r="N161" s="116"/>
      <c r="O161" s="116"/>
      <c r="P161" s="116"/>
      <c r="Q161" s="116"/>
      <c r="R161" s="116"/>
      <c r="S161" s="116"/>
      <c r="T161" s="116"/>
      <c r="U161" s="116"/>
      <c r="V161" s="116"/>
      <c r="W161" s="116"/>
      <c r="X161" s="116"/>
      <c r="Y161" s="116"/>
      <c r="Z161" s="116"/>
      <c r="AA161" s="116"/>
    </row>
    <row r="162" spans="1:27" x14ac:dyDescent="0.25">
      <c r="A162" s="71"/>
      <c r="B162" s="85"/>
      <c r="C162" s="85">
        <v>44691</v>
      </c>
      <c r="D162" s="86"/>
      <c r="E162" s="86"/>
      <c r="F162" s="86"/>
      <c r="G162" s="86"/>
      <c r="H162" s="116"/>
      <c r="I162" s="116"/>
      <c r="J162" s="116"/>
      <c r="K162" s="116"/>
      <c r="L162" s="76"/>
      <c r="M162" s="76"/>
      <c r="N162" s="116"/>
      <c r="O162" s="116"/>
      <c r="P162" s="116"/>
      <c r="Q162" s="116"/>
      <c r="R162" s="116"/>
      <c r="S162" s="116"/>
      <c r="T162" s="116"/>
      <c r="U162" s="116"/>
      <c r="V162" s="116"/>
      <c r="W162" s="116"/>
      <c r="X162" s="116"/>
      <c r="Y162" s="116"/>
      <c r="Z162" s="116"/>
      <c r="AA162" s="116"/>
    </row>
    <row r="163" spans="1:27" x14ac:dyDescent="0.25">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row>
    <row r="164" spans="1:27" x14ac:dyDescent="0.25">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row>
    <row r="165" spans="1:27" x14ac:dyDescent="0.25">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row>
    <row r="166" spans="1:27" x14ac:dyDescent="0.25">
      <c r="A166" s="116" t="s">
        <v>119</v>
      </c>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row>
    <row r="167" spans="1:27" x14ac:dyDescent="0.25">
      <c r="A167" s="71"/>
      <c r="B167" s="106" t="s">
        <v>84</v>
      </c>
      <c r="C167" s="107"/>
      <c r="D167" s="106" t="s">
        <v>29</v>
      </c>
      <c r="E167" s="107"/>
      <c r="F167" s="107"/>
      <c r="G167" s="107"/>
      <c r="H167" s="107"/>
      <c r="I167" s="107"/>
      <c r="J167" s="71"/>
      <c r="K167" s="71"/>
      <c r="L167" s="116"/>
      <c r="M167" s="116"/>
      <c r="N167" s="116"/>
      <c r="O167" s="116"/>
      <c r="P167" s="116"/>
      <c r="Q167" s="116"/>
      <c r="R167" s="116"/>
      <c r="S167" s="116"/>
      <c r="T167" s="116"/>
      <c r="U167" s="116"/>
      <c r="V167" s="116"/>
      <c r="W167" s="116"/>
      <c r="X167" s="116"/>
      <c r="Y167" s="116"/>
      <c r="Z167" s="116"/>
      <c r="AA167" s="116"/>
    </row>
    <row r="168" spans="1:27" x14ac:dyDescent="0.25">
      <c r="A168" s="71"/>
      <c r="B168" s="107"/>
      <c r="C168" s="107"/>
      <c r="D168" s="109">
        <v>1</v>
      </c>
      <c r="E168" s="109">
        <v>2</v>
      </c>
      <c r="F168" s="109">
        <v>3</v>
      </c>
      <c r="G168" s="109">
        <v>4</v>
      </c>
      <c r="H168" s="109">
        <v>5</v>
      </c>
      <c r="I168" s="109">
        <v>6</v>
      </c>
      <c r="J168" s="71">
        <v>7</v>
      </c>
      <c r="K168" s="71">
        <v>8</v>
      </c>
      <c r="L168" s="116"/>
      <c r="M168" s="109">
        <v>1</v>
      </c>
      <c r="N168" s="109">
        <v>2</v>
      </c>
      <c r="O168" s="109">
        <v>3</v>
      </c>
      <c r="P168" s="109">
        <v>4</v>
      </c>
      <c r="Q168" s="109">
        <v>5</v>
      </c>
      <c r="R168" s="109">
        <v>6</v>
      </c>
      <c r="S168" s="71">
        <v>7</v>
      </c>
      <c r="T168" s="71">
        <v>8</v>
      </c>
      <c r="U168" s="116"/>
      <c r="V168" s="116"/>
      <c r="W168" s="116"/>
      <c r="X168" s="116"/>
      <c r="Y168" s="116"/>
      <c r="Z168" s="116"/>
      <c r="AA168" s="116"/>
    </row>
    <row r="169" spans="1:27" x14ac:dyDescent="0.25">
      <c r="A169" s="71"/>
      <c r="B169" s="110" t="s">
        <v>0</v>
      </c>
      <c r="C169" s="106" t="s">
        <v>1</v>
      </c>
      <c r="D169" s="116">
        <v>76142</v>
      </c>
      <c r="E169" s="116">
        <v>79722</v>
      </c>
      <c r="F169" s="116">
        <v>83468</v>
      </c>
      <c r="G169" s="116">
        <v>87392</v>
      </c>
      <c r="H169" s="116">
        <v>91500</v>
      </c>
      <c r="I169" s="116">
        <v>95799</v>
      </c>
      <c r="J169" s="116">
        <v>100302</v>
      </c>
      <c r="K169" s="116">
        <v>105015</v>
      </c>
      <c r="L169" s="116"/>
      <c r="M169" s="116"/>
      <c r="N169" s="116"/>
      <c r="O169" s="116"/>
      <c r="P169" s="116"/>
      <c r="Q169" s="116"/>
      <c r="R169" s="116"/>
      <c r="S169" s="116"/>
      <c r="T169" s="116"/>
      <c r="U169" s="116"/>
      <c r="V169" s="116"/>
      <c r="W169" s="116"/>
      <c r="X169" s="116"/>
      <c r="Y169" s="116"/>
      <c r="Z169" s="116"/>
      <c r="AA169" s="116"/>
    </row>
    <row r="170" spans="1:27" x14ac:dyDescent="0.25">
      <c r="A170" s="71"/>
      <c r="B170" s="110"/>
      <c r="C170" s="106" t="s">
        <v>23</v>
      </c>
      <c r="D170" s="111">
        <v>78286</v>
      </c>
      <c r="E170" s="111">
        <v>81967</v>
      </c>
      <c r="F170" s="111">
        <v>85818</v>
      </c>
      <c r="G170" s="111">
        <v>89853</v>
      </c>
      <c r="H170" s="111">
        <v>94077</v>
      </c>
      <c r="I170" s="111">
        <v>98497</v>
      </c>
      <c r="J170" s="111">
        <v>103127</v>
      </c>
      <c r="K170" s="111">
        <v>107972</v>
      </c>
      <c r="L170" s="116"/>
      <c r="M170" s="155">
        <f>ROUND(D170,0)</f>
        <v>78286</v>
      </c>
      <c r="N170" s="155">
        <f t="shared" ref="N170:T174" si="15">ROUND(E170,0)</f>
        <v>81967</v>
      </c>
      <c r="O170" s="155">
        <f t="shared" si="15"/>
        <v>85818</v>
      </c>
      <c r="P170" s="155">
        <f t="shared" si="15"/>
        <v>89853</v>
      </c>
      <c r="Q170" s="155">
        <f t="shared" si="15"/>
        <v>94077</v>
      </c>
      <c r="R170" s="155">
        <f t="shared" si="15"/>
        <v>98497</v>
      </c>
      <c r="S170" s="155">
        <f t="shared" si="15"/>
        <v>103127</v>
      </c>
      <c r="T170" s="155">
        <f t="shared" si="15"/>
        <v>107972</v>
      </c>
      <c r="U170" s="116"/>
      <c r="V170" s="116"/>
      <c r="W170" s="116"/>
      <c r="X170" s="116"/>
      <c r="Y170" s="116"/>
      <c r="Z170" s="116"/>
      <c r="AA170" s="116"/>
    </row>
    <row r="171" spans="1:27" x14ac:dyDescent="0.25">
      <c r="A171" s="71"/>
      <c r="B171" s="110"/>
      <c r="C171" s="106" t="s">
        <v>24</v>
      </c>
      <c r="D171" s="111">
        <v>80012</v>
      </c>
      <c r="E171" s="111">
        <v>83774</v>
      </c>
      <c r="F171" s="111">
        <v>87710</v>
      </c>
      <c r="G171" s="111">
        <v>91833</v>
      </c>
      <c r="H171" s="111">
        <v>96150</v>
      </c>
      <c r="I171" s="111">
        <v>100668</v>
      </c>
      <c r="J171" s="111">
        <v>105399</v>
      </c>
      <c r="K171" s="111">
        <v>110352</v>
      </c>
      <c r="L171" s="116"/>
      <c r="M171" s="155">
        <f t="shared" ref="M171:M174" si="16">ROUND(D171,0)</f>
        <v>80012</v>
      </c>
      <c r="N171" s="155">
        <f t="shared" si="15"/>
        <v>83774</v>
      </c>
      <c r="O171" s="155">
        <f t="shared" si="15"/>
        <v>87710</v>
      </c>
      <c r="P171" s="155">
        <f t="shared" si="15"/>
        <v>91833</v>
      </c>
      <c r="Q171" s="155">
        <f t="shared" si="15"/>
        <v>96150</v>
      </c>
      <c r="R171" s="155">
        <f t="shared" si="15"/>
        <v>100668</v>
      </c>
      <c r="S171" s="155">
        <f t="shared" si="15"/>
        <v>105399</v>
      </c>
      <c r="T171" s="155">
        <f t="shared" si="15"/>
        <v>110352</v>
      </c>
      <c r="U171" s="116"/>
      <c r="V171" s="116"/>
      <c r="W171" s="116"/>
      <c r="X171" s="116"/>
      <c r="Y171" s="116"/>
      <c r="Z171" s="116"/>
      <c r="AA171" s="116"/>
    </row>
    <row r="172" spans="1:27" x14ac:dyDescent="0.25">
      <c r="A172" s="71"/>
      <c r="B172" s="110"/>
      <c r="C172" s="106"/>
      <c r="D172" s="111">
        <v>0</v>
      </c>
      <c r="E172" s="111">
        <v>0</v>
      </c>
      <c r="F172" s="111">
        <v>0</v>
      </c>
      <c r="G172" s="111">
        <v>0</v>
      </c>
      <c r="H172" s="111">
        <v>0</v>
      </c>
      <c r="I172" s="111">
        <v>0</v>
      </c>
      <c r="J172" s="111">
        <v>0</v>
      </c>
      <c r="K172" s="111">
        <v>0</v>
      </c>
      <c r="L172" s="116"/>
      <c r="M172" s="155">
        <f t="shared" si="16"/>
        <v>0</v>
      </c>
      <c r="N172" s="155">
        <f t="shared" si="15"/>
        <v>0</v>
      </c>
      <c r="O172" s="155">
        <f t="shared" si="15"/>
        <v>0</v>
      </c>
      <c r="P172" s="155">
        <f t="shared" si="15"/>
        <v>0</v>
      </c>
      <c r="Q172" s="155">
        <f t="shared" si="15"/>
        <v>0</v>
      </c>
      <c r="R172" s="155">
        <f t="shared" si="15"/>
        <v>0</v>
      </c>
      <c r="S172" s="155">
        <f t="shared" si="15"/>
        <v>0</v>
      </c>
      <c r="T172" s="155">
        <f t="shared" si="15"/>
        <v>0</v>
      </c>
      <c r="U172" s="116"/>
      <c r="V172" s="116"/>
      <c r="W172" s="116"/>
      <c r="X172" s="116"/>
      <c r="Y172" s="116"/>
      <c r="Z172" s="116"/>
      <c r="AA172" s="116"/>
    </row>
    <row r="173" spans="1:27" x14ac:dyDescent="0.25">
      <c r="A173" s="71"/>
      <c r="B173" s="110"/>
      <c r="C173" s="106" t="s">
        <v>26</v>
      </c>
      <c r="D173" s="111">
        <v>81212</v>
      </c>
      <c r="E173" s="111">
        <v>85030</v>
      </c>
      <c r="F173" s="111">
        <v>89026</v>
      </c>
      <c r="G173" s="111">
        <v>93211</v>
      </c>
      <c r="H173" s="111">
        <v>97592</v>
      </c>
      <c r="I173" s="111">
        <v>102178</v>
      </c>
      <c r="J173" s="111">
        <v>106980</v>
      </c>
      <c r="K173" s="111">
        <v>112007</v>
      </c>
      <c r="L173" s="116"/>
      <c r="M173" s="155">
        <f t="shared" si="16"/>
        <v>81212</v>
      </c>
      <c r="N173" s="155">
        <f t="shared" si="15"/>
        <v>85030</v>
      </c>
      <c r="O173" s="155">
        <f t="shared" si="15"/>
        <v>89026</v>
      </c>
      <c r="P173" s="155">
        <f t="shared" si="15"/>
        <v>93211</v>
      </c>
      <c r="Q173" s="155">
        <f t="shared" si="15"/>
        <v>97592</v>
      </c>
      <c r="R173" s="155">
        <f t="shared" si="15"/>
        <v>102178</v>
      </c>
      <c r="S173" s="155">
        <f t="shared" si="15"/>
        <v>106980</v>
      </c>
      <c r="T173" s="155">
        <f t="shared" si="15"/>
        <v>112007</v>
      </c>
      <c r="U173" s="116"/>
      <c r="V173" s="116"/>
      <c r="W173" s="116"/>
      <c r="X173" s="116"/>
      <c r="Y173" s="116"/>
      <c r="Z173" s="116"/>
      <c r="AA173" s="116"/>
    </row>
    <row r="174" spans="1:27" x14ac:dyDescent="0.25">
      <c r="A174" s="71"/>
      <c r="B174" s="110"/>
      <c r="C174" s="106" t="s">
        <v>27</v>
      </c>
      <c r="D174" s="111">
        <v>82430</v>
      </c>
      <c r="E174" s="111">
        <v>86306</v>
      </c>
      <c r="F174" s="111">
        <v>90361</v>
      </c>
      <c r="G174" s="111">
        <v>94609</v>
      </c>
      <c r="H174" s="111">
        <v>99056</v>
      </c>
      <c r="I174" s="111">
        <v>103710</v>
      </c>
      <c r="J174" s="111">
        <v>108585</v>
      </c>
      <c r="K174" s="111">
        <v>113687</v>
      </c>
      <c r="L174" s="116"/>
      <c r="M174" s="155">
        <f t="shared" si="16"/>
        <v>82430</v>
      </c>
      <c r="N174" s="155">
        <f t="shared" si="15"/>
        <v>86306</v>
      </c>
      <c r="O174" s="155">
        <f t="shared" si="15"/>
        <v>90361</v>
      </c>
      <c r="P174" s="155">
        <f t="shared" si="15"/>
        <v>94609</v>
      </c>
      <c r="Q174" s="155">
        <f t="shared" si="15"/>
        <v>99056</v>
      </c>
      <c r="R174" s="155">
        <f t="shared" si="15"/>
        <v>103710</v>
      </c>
      <c r="S174" s="155">
        <f t="shared" si="15"/>
        <v>108585</v>
      </c>
      <c r="T174" s="155">
        <f t="shared" si="15"/>
        <v>113687</v>
      </c>
      <c r="U174" s="116"/>
      <c r="V174" s="116"/>
      <c r="W174" s="116"/>
      <c r="X174" s="116"/>
      <c r="Y174" s="116"/>
      <c r="Z174" s="116"/>
      <c r="AA174" s="116"/>
    </row>
    <row r="175" spans="1:27" x14ac:dyDescent="0.25">
      <c r="A175" s="71"/>
      <c r="B175" s="110"/>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row>
    <row r="176" spans="1:27" x14ac:dyDescent="0.25">
      <c r="A176" s="71"/>
      <c r="B176" s="71"/>
      <c r="C176" s="71"/>
      <c r="D176" s="71"/>
      <c r="E176" s="71"/>
      <c r="F176" s="71"/>
      <c r="G176" s="71"/>
      <c r="H176" s="71"/>
      <c r="I176" s="71"/>
      <c r="J176" s="71"/>
      <c r="K176" s="71"/>
      <c r="L176" s="116"/>
      <c r="M176" s="116"/>
      <c r="N176" s="116"/>
      <c r="O176" s="116"/>
      <c r="P176" s="116"/>
      <c r="Q176" s="116"/>
      <c r="R176" s="116"/>
      <c r="S176" s="116"/>
      <c r="T176" s="116"/>
      <c r="U176" s="116"/>
      <c r="V176" s="116"/>
      <c r="W176" s="116"/>
      <c r="X176" s="116"/>
      <c r="Y176" s="116"/>
      <c r="Z176" s="116"/>
      <c r="AA176" s="116"/>
    </row>
    <row r="177" spans="1:27" x14ac:dyDescent="0.25">
      <c r="A177" s="71"/>
      <c r="B177" s="106" t="s">
        <v>85</v>
      </c>
      <c r="C177" s="107"/>
      <c r="D177" s="107"/>
      <c r="E177" s="107"/>
      <c r="F177" s="107"/>
      <c r="G177" s="107"/>
      <c r="H177" s="107"/>
      <c r="I177" s="107"/>
      <c r="J177" s="107"/>
      <c r="K177" s="107"/>
      <c r="L177" s="116"/>
      <c r="M177" s="116"/>
      <c r="N177" s="116"/>
      <c r="O177" s="116"/>
      <c r="P177" s="116"/>
      <c r="Q177" s="116"/>
      <c r="R177" s="116"/>
      <c r="S177" s="116"/>
      <c r="T177" s="116"/>
      <c r="U177" s="116"/>
      <c r="V177" s="116"/>
      <c r="W177" s="116"/>
      <c r="X177" s="116"/>
      <c r="Y177" s="116"/>
      <c r="Z177" s="116"/>
      <c r="AA177" s="116"/>
    </row>
    <row r="178" spans="1:27" x14ac:dyDescent="0.25">
      <c r="A178" s="71"/>
      <c r="B178" s="107"/>
      <c r="C178" s="107"/>
      <c r="D178" s="109">
        <v>1</v>
      </c>
      <c r="E178" s="109">
        <v>2</v>
      </c>
      <c r="F178" s="109">
        <v>3</v>
      </c>
      <c r="G178" s="109">
        <v>4</v>
      </c>
      <c r="H178" s="109">
        <v>5</v>
      </c>
      <c r="I178" s="109">
        <v>6</v>
      </c>
      <c r="J178" s="109">
        <v>7</v>
      </c>
      <c r="K178" s="109">
        <v>8</v>
      </c>
      <c r="L178" s="116"/>
      <c r="M178" s="116"/>
      <c r="N178" s="116"/>
      <c r="O178" s="116"/>
      <c r="P178" s="116"/>
      <c r="Q178" s="116"/>
      <c r="R178" s="116"/>
      <c r="S178" s="116"/>
      <c r="T178" s="116"/>
      <c r="U178" s="116"/>
      <c r="V178" s="116"/>
      <c r="W178" s="116"/>
      <c r="X178" s="116"/>
      <c r="Y178" s="116"/>
      <c r="Z178" s="116"/>
      <c r="AA178" s="116"/>
    </row>
    <row r="179" spans="1:27" x14ac:dyDescent="0.25">
      <c r="A179" s="71"/>
      <c r="B179" s="110" t="s">
        <v>0</v>
      </c>
      <c r="C179" s="106" t="s">
        <v>1</v>
      </c>
      <c r="D179" s="116">
        <v>76142</v>
      </c>
      <c r="E179" s="116">
        <v>79722</v>
      </c>
      <c r="F179" s="116">
        <v>83468</v>
      </c>
      <c r="G179" s="116">
        <v>87392</v>
      </c>
      <c r="H179" s="116">
        <v>91500</v>
      </c>
      <c r="I179" s="116">
        <v>95799</v>
      </c>
      <c r="J179" s="116">
        <v>100302</v>
      </c>
      <c r="K179" s="116">
        <v>105015</v>
      </c>
      <c r="L179" s="116"/>
      <c r="M179" s="233">
        <v>76142</v>
      </c>
      <c r="N179" s="233">
        <v>79722</v>
      </c>
      <c r="O179" s="233">
        <v>83468</v>
      </c>
      <c r="P179" s="233">
        <v>87392</v>
      </c>
      <c r="Q179" s="233">
        <v>91500</v>
      </c>
      <c r="R179" s="233">
        <v>95799</v>
      </c>
      <c r="S179" s="233">
        <v>100302</v>
      </c>
      <c r="T179" s="233">
        <v>105015</v>
      </c>
      <c r="U179" s="116"/>
      <c r="V179" s="116"/>
      <c r="W179" s="116"/>
      <c r="X179" s="116"/>
      <c r="Y179" s="116"/>
      <c r="Z179" s="116"/>
      <c r="AA179" s="116"/>
    </row>
    <row r="180" spans="1:27" x14ac:dyDescent="0.25">
      <c r="A180" s="71"/>
      <c r="B180" s="110"/>
      <c r="C180" s="106" t="s">
        <v>23</v>
      </c>
      <c r="D180" s="117">
        <f>SUM(((D179*2%)+D179),((D179*2%)+D179)*0.8%)</f>
        <v>78286.158719999992</v>
      </c>
      <c r="E180" s="117">
        <f t="shared" ref="E180:K180" si="17">SUM(((E179*2%)+E179),((E179*2%)+E179)*0.8%)</f>
        <v>81966.971520000006</v>
      </c>
      <c r="F180" s="117">
        <f t="shared" si="17"/>
        <v>85818.458880000006</v>
      </c>
      <c r="G180" s="117">
        <f t="shared" si="17"/>
        <v>89852.958719999995</v>
      </c>
      <c r="H180" s="117">
        <f t="shared" si="17"/>
        <v>94076.64</v>
      </c>
      <c r="I180" s="117">
        <f t="shared" si="17"/>
        <v>98496.699840000001</v>
      </c>
      <c r="J180" s="117">
        <f t="shared" si="17"/>
        <v>103126.50431999999</v>
      </c>
      <c r="K180" s="117">
        <f t="shared" si="17"/>
        <v>107972.2224</v>
      </c>
      <c r="L180" s="155"/>
      <c r="M180" s="117">
        <f>ROUND(SUM(((M179*2%)+M179),((M179*2%)+M179)*0.8%),0)</f>
        <v>78286</v>
      </c>
      <c r="N180" s="117">
        <f t="shared" ref="N180:T180" si="18">SUM(((N179*2%)+N179),((N179*2%)+N179)*0.8%)</f>
        <v>81966.971520000006</v>
      </c>
      <c r="O180" s="117">
        <f t="shared" si="18"/>
        <v>85818.458880000006</v>
      </c>
      <c r="P180" s="117">
        <f t="shared" si="18"/>
        <v>89852.958719999995</v>
      </c>
      <c r="Q180" s="117">
        <f t="shared" si="18"/>
        <v>94076.64</v>
      </c>
      <c r="R180" s="117">
        <f t="shared" si="18"/>
        <v>98496.699840000001</v>
      </c>
      <c r="S180" s="117">
        <f t="shared" si="18"/>
        <v>103126.50431999999</v>
      </c>
      <c r="T180" s="117">
        <f t="shared" si="18"/>
        <v>107972.2224</v>
      </c>
      <c r="U180" s="116"/>
      <c r="V180" s="116"/>
      <c r="W180" s="116"/>
      <c r="X180" s="116"/>
      <c r="Y180" s="116"/>
      <c r="Z180" s="116"/>
      <c r="AA180" s="116"/>
    </row>
    <row r="181" spans="1:27" x14ac:dyDescent="0.25">
      <c r="A181" s="71"/>
      <c r="B181" s="110"/>
      <c r="C181" s="106" t="s">
        <v>24</v>
      </c>
      <c r="D181" s="117">
        <f>SUM(((D180*2%)+D180),((D180*2%)+D180)*0.2%)</f>
        <v>80011.585658188793</v>
      </c>
      <c r="E181" s="117">
        <f t="shared" ref="E181:K181" si="19">SUM(((E180*2%)+E180),((E180*2%)+E180)*0.2%)</f>
        <v>83773.523572300808</v>
      </c>
      <c r="F181" s="117">
        <f t="shared" si="19"/>
        <v>87709.897713715211</v>
      </c>
      <c r="G181" s="117">
        <f t="shared" si="19"/>
        <v>91833.317930188787</v>
      </c>
      <c r="H181" s="117">
        <f t="shared" si="19"/>
        <v>96150.089145599995</v>
      </c>
      <c r="I181" s="117">
        <f t="shared" si="19"/>
        <v>100667.56710447359</v>
      </c>
      <c r="J181" s="117">
        <f t="shared" si="19"/>
        <v>105399.4124752128</v>
      </c>
      <c r="K181" s="117">
        <f t="shared" si="19"/>
        <v>110351.93018169599</v>
      </c>
      <c r="L181" s="155"/>
      <c r="M181" s="117">
        <f>ROUND(SUM(((M180*2%)+M180),((M180*2%)+M180)*0.2%),0)</f>
        <v>80011</v>
      </c>
      <c r="N181" s="117">
        <f t="shared" ref="N181:T181" si="20">SUM(((N180*2%)+N180),((N180*2%)+N180)*0.2%)</f>
        <v>83773.523572300808</v>
      </c>
      <c r="O181" s="117">
        <f t="shared" si="20"/>
        <v>87709.897713715211</v>
      </c>
      <c r="P181" s="117">
        <f t="shared" si="20"/>
        <v>91833.317930188787</v>
      </c>
      <c r="Q181" s="117">
        <f t="shared" si="20"/>
        <v>96150.089145599995</v>
      </c>
      <c r="R181" s="117">
        <f t="shared" si="20"/>
        <v>100667.56710447359</v>
      </c>
      <c r="S181" s="117">
        <f t="shared" si="20"/>
        <v>105399.4124752128</v>
      </c>
      <c r="T181" s="117">
        <f t="shared" si="20"/>
        <v>110351.93018169599</v>
      </c>
      <c r="U181" s="116"/>
      <c r="V181" s="116"/>
      <c r="W181" s="116"/>
      <c r="X181" s="116"/>
      <c r="Y181" s="116"/>
      <c r="Z181" s="116"/>
      <c r="AA181" s="116"/>
    </row>
    <row r="182" spans="1:27" x14ac:dyDescent="0.25">
      <c r="A182" s="71"/>
      <c r="B182" s="110"/>
      <c r="C182" s="106"/>
      <c r="D182" s="117"/>
      <c r="E182" s="117"/>
      <c r="F182" s="117"/>
      <c r="G182" s="117"/>
      <c r="H182" s="117"/>
      <c r="I182" s="117"/>
      <c r="J182" s="117"/>
      <c r="K182" s="117"/>
      <c r="L182" s="155"/>
      <c r="M182" s="117"/>
      <c r="N182" s="117"/>
      <c r="O182" s="117"/>
      <c r="P182" s="117"/>
      <c r="Q182" s="117"/>
      <c r="R182" s="117"/>
      <c r="S182" s="117"/>
      <c r="T182" s="117"/>
      <c r="U182" s="116"/>
      <c r="V182" s="116"/>
      <c r="W182" s="116"/>
      <c r="X182" s="116"/>
      <c r="Y182" s="116"/>
      <c r="Z182" s="116"/>
      <c r="AA182" s="116"/>
    </row>
    <row r="183" spans="1:27" x14ac:dyDescent="0.25">
      <c r="A183" s="71"/>
      <c r="B183" s="110"/>
      <c r="C183" s="106" t="s">
        <v>26</v>
      </c>
      <c r="D183" s="117">
        <f>SUM(((D181*1.5%)+D181))</f>
        <v>81211.75944306163</v>
      </c>
      <c r="E183" s="117">
        <f t="shared" ref="E183:K183" si="21">SUM(((E181*1.5%)+E181))</f>
        <v>85030.126425885319</v>
      </c>
      <c r="F183" s="117">
        <f t="shared" si="21"/>
        <v>89025.54617942094</v>
      </c>
      <c r="G183" s="117">
        <f t="shared" si="21"/>
        <v>93210.817699141626</v>
      </c>
      <c r="H183" s="117">
        <f t="shared" si="21"/>
        <v>97592.340482783999</v>
      </c>
      <c r="I183" s="117">
        <f t="shared" si="21"/>
        <v>102177.5806110407</v>
      </c>
      <c r="J183" s="117">
        <f t="shared" si="21"/>
        <v>106980.40366234099</v>
      </c>
      <c r="K183" s="117">
        <f t="shared" si="21"/>
        <v>112007.20913442143</v>
      </c>
      <c r="L183" s="155"/>
      <c r="M183" s="117">
        <f>ROUND(SUM(((M181*1.5%)+M181)),0)</f>
        <v>81211</v>
      </c>
      <c r="N183" s="117">
        <f t="shared" ref="N183:T183" si="22">SUM(((N181*1.5%)+N181))</f>
        <v>85030.126425885319</v>
      </c>
      <c r="O183" s="117">
        <f t="shared" si="22"/>
        <v>89025.54617942094</v>
      </c>
      <c r="P183" s="117">
        <f t="shared" si="22"/>
        <v>93210.817699141626</v>
      </c>
      <c r="Q183" s="117">
        <f t="shared" si="22"/>
        <v>97592.340482783999</v>
      </c>
      <c r="R183" s="117">
        <f t="shared" si="22"/>
        <v>102177.5806110407</v>
      </c>
      <c r="S183" s="117">
        <f t="shared" si="22"/>
        <v>106980.40366234099</v>
      </c>
      <c r="T183" s="117">
        <f t="shared" si="22"/>
        <v>112007.20913442143</v>
      </c>
      <c r="U183" s="116"/>
      <c r="V183" s="116"/>
      <c r="W183" s="116"/>
      <c r="X183" s="116"/>
      <c r="Y183" s="116"/>
      <c r="Z183" s="116"/>
      <c r="AA183" s="116"/>
    </row>
    <row r="184" spans="1:27" x14ac:dyDescent="0.25">
      <c r="A184" s="71"/>
      <c r="B184" s="110"/>
      <c r="C184" s="106" t="s">
        <v>27</v>
      </c>
      <c r="D184" s="117">
        <f>SUM(((D183*1.5%)+D183))</f>
        <v>82429.935834707561</v>
      </c>
      <c r="E184" s="117">
        <f t="shared" ref="E184:K184" si="23">SUM(((E183*1.5%)+E183))</f>
        <v>86305.578322273592</v>
      </c>
      <c r="F184" s="117">
        <f t="shared" si="23"/>
        <v>90360.929372112252</v>
      </c>
      <c r="G184" s="117">
        <f t="shared" si="23"/>
        <v>94608.979964628757</v>
      </c>
      <c r="H184" s="117">
        <f t="shared" si="23"/>
        <v>99056.225590025759</v>
      </c>
      <c r="I184" s="117">
        <f t="shared" si="23"/>
        <v>103710.24432020632</v>
      </c>
      <c r="J184" s="117">
        <f t="shared" si="23"/>
        <v>108585.10971727611</v>
      </c>
      <c r="K184" s="117">
        <f t="shared" si="23"/>
        <v>113687.31727143774</v>
      </c>
      <c r="L184" s="155"/>
      <c r="M184" s="117">
        <f>ROUND(SUM(((M183*1.5%)+M183)),0)</f>
        <v>82429</v>
      </c>
      <c r="N184" s="117">
        <f t="shared" ref="N184:T184" si="24">SUM(((N183*1.5%)+N183))</f>
        <v>86305.578322273592</v>
      </c>
      <c r="O184" s="117">
        <f t="shared" si="24"/>
        <v>90360.929372112252</v>
      </c>
      <c r="P184" s="117">
        <f t="shared" si="24"/>
        <v>94608.979964628757</v>
      </c>
      <c r="Q184" s="117">
        <f t="shared" si="24"/>
        <v>99056.225590025759</v>
      </c>
      <c r="R184" s="117">
        <f t="shared" si="24"/>
        <v>103710.24432020632</v>
      </c>
      <c r="S184" s="117">
        <f t="shared" si="24"/>
        <v>108585.10971727611</v>
      </c>
      <c r="T184" s="117">
        <f t="shared" si="24"/>
        <v>113687.31727143774</v>
      </c>
      <c r="U184" s="116"/>
      <c r="V184" s="116"/>
      <c r="W184" s="116"/>
      <c r="X184" s="116"/>
      <c r="Y184" s="116"/>
      <c r="Z184" s="116"/>
      <c r="AA184" s="116"/>
    </row>
    <row r="185" spans="1:27" x14ac:dyDescent="0.25">
      <c r="A185" s="71"/>
      <c r="B185" s="71"/>
      <c r="C185" s="114"/>
      <c r="D185" s="90"/>
      <c r="E185" s="90"/>
      <c r="F185" s="90"/>
      <c r="G185" s="90"/>
      <c r="H185" s="90"/>
      <c r="I185" s="90"/>
      <c r="J185" s="90"/>
      <c r="K185" s="90"/>
      <c r="L185" s="116"/>
      <c r="M185" s="116"/>
      <c r="N185" s="116"/>
      <c r="O185" s="116"/>
      <c r="P185" s="116"/>
      <c r="Q185" s="116"/>
      <c r="R185" s="116"/>
      <c r="S185" s="116"/>
      <c r="T185" s="116"/>
      <c r="U185" s="116"/>
      <c r="V185" s="116"/>
      <c r="W185" s="116"/>
      <c r="X185" s="116"/>
      <c r="Y185" s="116"/>
      <c r="Z185" s="116"/>
      <c r="AA185" s="116"/>
    </row>
    <row r="186" spans="1:27" ht="21" x14ac:dyDescent="0.35">
      <c r="A186" s="63" t="s">
        <v>74</v>
      </c>
      <c r="B186" s="71"/>
      <c r="C186" s="71"/>
      <c r="D186" s="71"/>
      <c r="E186" s="71"/>
      <c r="F186" s="71"/>
      <c r="G186" s="71"/>
      <c r="H186" s="71"/>
      <c r="I186" s="71"/>
      <c r="J186" s="71"/>
      <c r="K186" s="71"/>
      <c r="L186" s="116"/>
      <c r="M186" s="116"/>
      <c r="N186" s="116"/>
      <c r="O186" s="116"/>
      <c r="P186" s="116"/>
      <c r="Q186" s="116"/>
      <c r="R186" s="116"/>
      <c r="S186" s="116"/>
      <c r="T186" s="116"/>
      <c r="U186" s="116"/>
      <c r="V186" s="116"/>
      <c r="W186" s="116"/>
      <c r="X186" s="116"/>
      <c r="Y186" s="116"/>
      <c r="Z186" s="116"/>
      <c r="AA186" s="116"/>
    </row>
    <row r="187" spans="1:27" x14ac:dyDescent="0.25">
      <c r="A187" s="116"/>
      <c r="B187" s="71"/>
      <c r="C187" s="71"/>
      <c r="D187" s="109">
        <v>1</v>
      </c>
      <c r="E187" s="109">
        <v>2</v>
      </c>
      <c r="F187" s="109">
        <v>3</v>
      </c>
      <c r="G187" s="109">
        <v>4</v>
      </c>
      <c r="H187" s="109">
        <v>5</v>
      </c>
      <c r="I187" s="109">
        <v>6</v>
      </c>
      <c r="J187" s="109">
        <v>7</v>
      </c>
      <c r="K187" s="109">
        <v>8</v>
      </c>
      <c r="L187" s="116"/>
      <c r="M187" s="116"/>
      <c r="N187" s="116"/>
      <c r="O187" s="116"/>
      <c r="P187" s="116"/>
      <c r="Q187" s="116"/>
      <c r="R187" s="116"/>
      <c r="S187" s="116"/>
      <c r="T187" s="116"/>
      <c r="U187" s="116"/>
      <c r="V187" s="116"/>
      <c r="W187" s="116"/>
      <c r="X187" s="116"/>
      <c r="Y187" s="116"/>
      <c r="Z187" s="116"/>
      <c r="AA187" s="116"/>
    </row>
    <row r="188" spans="1:27" x14ac:dyDescent="0.25">
      <c r="A188" s="71"/>
      <c r="B188" s="71"/>
      <c r="C188" s="106" t="s">
        <v>1</v>
      </c>
      <c r="D188" s="115" t="b">
        <f t="shared" ref="D188:K193" si="25">IF($I$4="Select",0,IF($I$4=$B$107,D169,IF($I$4=$B$117,D179)))</f>
        <v>0</v>
      </c>
      <c r="E188" s="115" t="b">
        <f t="shared" si="25"/>
        <v>0</v>
      </c>
      <c r="F188" s="115" t="b">
        <f t="shared" si="25"/>
        <v>0</v>
      </c>
      <c r="G188" s="115" t="b">
        <f t="shared" si="25"/>
        <v>0</v>
      </c>
      <c r="H188" s="115" t="b">
        <f t="shared" si="25"/>
        <v>0</v>
      </c>
      <c r="I188" s="115" t="b">
        <f t="shared" si="25"/>
        <v>0</v>
      </c>
      <c r="J188" s="115" t="b">
        <f t="shared" si="25"/>
        <v>0</v>
      </c>
      <c r="K188" s="115" t="b">
        <f t="shared" si="25"/>
        <v>0</v>
      </c>
      <c r="L188" s="116"/>
      <c r="M188" s="116"/>
      <c r="N188" s="116"/>
      <c r="O188" s="116"/>
      <c r="P188" s="116"/>
      <c r="Q188" s="116"/>
      <c r="R188" s="116"/>
      <c r="S188" s="116"/>
      <c r="T188" s="116"/>
      <c r="U188" s="116"/>
      <c r="V188" s="116"/>
      <c r="W188" s="116"/>
      <c r="X188" s="116"/>
      <c r="Y188" s="116"/>
      <c r="Z188" s="116"/>
      <c r="AA188" s="116"/>
    </row>
    <row r="189" spans="1:27" x14ac:dyDescent="0.25">
      <c r="A189" s="71"/>
      <c r="B189" s="71"/>
      <c r="C189" s="106" t="s">
        <v>23</v>
      </c>
      <c r="D189" s="115" t="b">
        <f t="shared" si="25"/>
        <v>0</v>
      </c>
      <c r="E189" s="115" t="b">
        <f t="shared" si="25"/>
        <v>0</v>
      </c>
      <c r="F189" s="115" t="b">
        <f t="shared" si="25"/>
        <v>0</v>
      </c>
      <c r="G189" s="115" t="b">
        <f t="shared" si="25"/>
        <v>0</v>
      </c>
      <c r="H189" s="115" t="b">
        <f t="shared" si="25"/>
        <v>0</v>
      </c>
      <c r="I189" s="115" t="b">
        <f t="shared" si="25"/>
        <v>0</v>
      </c>
      <c r="J189" s="115" t="b">
        <f t="shared" si="25"/>
        <v>0</v>
      </c>
      <c r="K189" s="115" t="b">
        <f t="shared" si="25"/>
        <v>0</v>
      </c>
      <c r="L189" s="116"/>
      <c r="M189" s="116"/>
      <c r="N189" s="116"/>
      <c r="O189" s="116"/>
      <c r="P189" s="116"/>
      <c r="Q189" s="116"/>
      <c r="R189" s="116"/>
      <c r="S189" s="116"/>
      <c r="T189" s="116"/>
      <c r="U189" s="116"/>
      <c r="V189" s="116"/>
      <c r="W189" s="116"/>
      <c r="X189" s="116"/>
      <c r="Y189" s="116"/>
      <c r="Z189" s="116"/>
      <c r="AA189" s="116"/>
    </row>
    <row r="190" spans="1:27" x14ac:dyDescent="0.25">
      <c r="A190" s="71"/>
      <c r="B190" s="71"/>
      <c r="C190" s="106" t="s">
        <v>24</v>
      </c>
      <c r="D190" s="115" t="b">
        <f t="shared" si="25"/>
        <v>0</v>
      </c>
      <c r="E190" s="115" t="b">
        <f t="shared" si="25"/>
        <v>0</v>
      </c>
      <c r="F190" s="115" t="b">
        <f t="shared" si="25"/>
        <v>0</v>
      </c>
      <c r="G190" s="115" t="b">
        <f t="shared" si="25"/>
        <v>0</v>
      </c>
      <c r="H190" s="115" t="b">
        <f t="shared" si="25"/>
        <v>0</v>
      </c>
      <c r="I190" s="115" t="b">
        <f t="shared" si="25"/>
        <v>0</v>
      </c>
      <c r="J190" s="115" t="b">
        <f t="shared" si="25"/>
        <v>0</v>
      </c>
      <c r="K190" s="115" t="b">
        <f t="shared" si="25"/>
        <v>0</v>
      </c>
      <c r="L190" s="116"/>
      <c r="M190" s="116"/>
      <c r="N190" s="116"/>
      <c r="O190" s="116"/>
      <c r="P190" s="116"/>
      <c r="Q190" s="116"/>
      <c r="R190" s="116"/>
      <c r="S190" s="116"/>
      <c r="T190" s="116"/>
      <c r="U190" s="116"/>
      <c r="V190" s="116"/>
      <c r="W190" s="116"/>
      <c r="X190" s="116"/>
      <c r="Y190" s="116"/>
      <c r="Z190" s="116"/>
      <c r="AA190" s="116"/>
    </row>
    <row r="191" spans="1:27" x14ac:dyDescent="0.25">
      <c r="A191" s="71"/>
      <c r="B191" s="71"/>
      <c r="C191" s="106" t="s">
        <v>25</v>
      </c>
      <c r="D191" s="115" t="b">
        <f t="shared" si="25"/>
        <v>0</v>
      </c>
      <c r="E191" s="115" t="b">
        <f t="shared" si="25"/>
        <v>0</v>
      </c>
      <c r="F191" s="115" t="b">
        <f t="shared" si="25"/>
        <v>0</v>
      </c>
      <c r="G191" s="115" t="b">
        <f t="shared" si="25"/>
        <v>0</v>
      </c>
      <c r="H191" s="115" t="b">
        <f t="shared" si="25"/>
        <v>0</v>
      </c>
      <c r="I191" s="115" t="b">
        <f t="shared" si="25"/>
        <v>0</v>
      </c>
      <c r="J191" s="115" t="b">
        <f t="shared" si="25"/>
        <v>0</v>
      </c>
      <c r="K191" s="115" t="b">
        <f t="shared" si="25"/>
        <v>0</v>
      </c>
      <c r="L191" s="116"/>
      <c r="M191" s="116"/>
      <c r="N191" s="116"/>
      <c r="O191" s="116"/>
      <c r="P191" s="116"/>
      <c r="Q191" s="116"/>
      <c r="R191" s="116"/>
      <c r="S191" s="116"/>
      <c r="T191" s="116"/>
      <c r="U191" s="116"/>
      <c r="V191" s="116"/>
      <c r="W191" s="116"/>
      <c r="X191" s="116"/>
      <c r="Y191" s="116"/>
      <c r="Z191" s="116"/>
      <c r="AA191" s="116"/>
    </row>
    <row r="192" spans="1:27" x14ac:dyDescent="0.25">
      <c r="A192" s="71"/>
      <c r="B192" s="71"/>
      <c r="C192" s="106" t="s">
        <v>26</v>
      </c>
      <c r="D192" s="115" t="b">
        <f t="shared" si="25"/>
        <v>0</v>
      </c>
      <c r="E192" s="115" t="b">
        <f t="shared" si="25"/>
        <v>0</v>
      </c>
      <c r="F192" s="115" t="b">
        <f t="shared" si="25"/>
        <v>0</v>
      </c>
      <c r="G192" s="115" t="b">
        <f t="shared" si="25"/>
        <v>0</v>
      </c>
      <c r="H192" s="115" t="b">
        <f t="shared" si="25"/>
        <v>0</v>
      </c>
      <c r="I192" s="115" t="b">
        <f t="shared" si="25"/>
        <v>0</v>
      </c>
      <c r="J192" s="115" t="b">
        <f t="shared" si="25"/>
        <v>0</v>
      </c>
      <c r="K192" s="115" t="b">
        <f t="shared" si="25"/>
        <v>0</v>
      </c>
      <c r="L192" s="116"/>
      <c r="M192" s="116"/>
      <c r="N192" s="116"/>
      <c r="O192" s="116"/>
      <c r="P192" s="116"/>
      <c r="Q192" s="116"/>
      <c r="R192" s="116"/>
      <c r="S192" s="116"/>
      <c r="T192" s="116"/>
      <c r="U192" s="116"/>
      <c r="V192" s="116"/>
      <c r="W192" s="116"/>
      <c r="X192" s="116"/>
      <c r="Y192" s="116"/>
      <c r="Z192" s="116"/>
      <c r="AA192" s="116"/>
    </row>
    <row r="193" spans="1:27" x14ac:dyDescent="0.25">
      <c r="A193" s="116"/>
      <c r="B193" s="116"/>
      <c r="C193" s="106" t="s">
        <v>27</v>
      </c>
      <c r="D193" s="115" t="b">
        <f t="shared" si="25"/>
        <v>0</v>
      </c>
      <c r="E193" s="115" t="b">
        <f t="shared" si="25"/>
        <v>0</v>
      </c>
      <c r="F193" s="115" t="b">
        <f t="shared" si="25"/>
        <v>0</v>
      </c>
      <c r="G193" s="115" t="b">
        <f t="shared" si="25"/>
        <v>0</v>
      </c>
      <c r="H193" s="115" t="b">
        <f t="shared" si="25"/>
        <v>0</v>
      </c>
      <c r="I193" s="115" t="b">
        <f t="shared" si="25"/>
        <v>0</v>
      </c>
      <c r="J193" s="115" t="b">
        <f t="shared" si="25"/>
        <v>0</v>
      </c>
      <c r="K193" s="115" t="b">
        <f t="shared" si="25"/>
        <v>0</v>
      </c>
      <c r="L193" s="116"/>
      <c r="M193" s="116"/>
      <c r="N193" s="116"/>
      <c r="O193" s="116"/>
      <c r="P193" s="116"/>
      <c r="Q193" s="116"/>
      <c r="R193" s="116"/>
      <c r="S193" s="116"/>
      <c r="T193" s="116"/>
      <c r="U193" s="116"/>
      <c r="V193" s="116"/>
      <c r="W193" s="116"/>
      <c r="X193" s="116"/>
      <c r="Y193" s="116"/>
      <c r="Z193" s="116"/>
      <c r="AA193" s="116"/>
    </row>
  </sheetData>
  <mergeCells count="173">
    <mergeCell ref="B13:G14"/>
    <mergeCell ref="H13:I13"/>
    <mergeCell ref="H14:I14"/>
    <mergeCell ref="B16:I16"/>
    <mergeCell ref="B18:G19"/>
    <mergeCell ref="H18:I18"/>
    <mergeCell ref="H19:I19"/>
    <mergeCell ref="B1:N1"/>
    <mergeCell ref="B2:N2"/>
    <mergeCell ref="B4:H4"/>
    <mergeCell ref="I4:J4"/>
    <mergeCell ref="B11:I11"/>
    <mergeCell ref="C6:G6"/>
    <mergeCell ref="B28:C28"/>
    <mergeCell ref="E28:G28"/>
    <mergeCell ref="H28:I28"/>
    <mergeCell ref="B30:C30"/>
    <mergeCell ref="E30:G30"/>
    <mergeCell ref="H30:I30"/>
    <mergeCell ref="H20:I20"/>
    <mergeCell ref="H21:I21"/>
    <mergeCell ref="D23:I23"/>
    <mergeCell ref="B25:N25"/>
    <mergeCell ref="B27:C27"/>
    <mergeCell ref="D27:G27"/>
    <mergeCell ref="H27:I27"/>
    <mergeCell ref="J27:M27"/>
    <mergeCell ref="B33:C33"/>
    <mergeCell ref="E33:G33"/>
    <mergeCell ref="H33:I33"/>
    <mergeCell ref="B35:C35"/>
    <mergeCell ref="E35:G35"/>
    <mergeCell ref="H35:I35"/>
    <mergeCell ref="B31:C31"/>
    <mergeCell ref="E31:G31"/>
    <mergeCell ref="I31:J31"/>
    <mergeCell ref="B32:C32"/>
    <mergeCell ref="D32:G32"/>
    <mergeCell ref="H32:I32"/>
    <mergeCell ref="B40:C40"/>
    <mergeCell ref="E40:G40"/>
    <mergeCell ref="H40:I40"/>
    <mergeCell ref="I41:J41"/>
    <mergeCell ref="B42:C42"/>
    <mergeCell ref="D42:G42"/>
    <mergeCell ref="H42:I42"/>
    <mergeCell ref="I36:J36"/>
    <mergeCell ref="B37:C37"/>
    <mergeCell ref="D37:G37"/>
    <mergeCell ref="H37:I37"/>
    <mergeCell ref="B38:C38"/>
    <mergeCell ref="E38:G38"/>
    <mergeCell ref="H38:I38"/>
    <mergeCell ref="J38:M38"/>
    <mergeCell ref="I46:J46"/>
    <mergeCell ref="B47:C47"/>
    <mergeCell ref="D47:I47"/>
    <mergeCell ref="B50:N50"/>
    <mergeCell ref="B54:C54"/>
    <mergeCell ref="D54:G54"/>
    <mergeCell ref="H54:I54"/>
    <mergeCell ref="J54:M54"/>
    <mergeCell ref="B43:C43"/>
    <mergeCell ref="E43:G43"/>
    <mergeCell ref="H43:I43"/>
    <mergeCell ref="B45:C45"/>
    <mergeCell ref="E45:G45"/>
    <mergeCell ref="H45:I45"/>
    <mergeCell ref="P54:Q54"/>
    <mergeCell ref="R54:U54"/>
    <mergeCell ref="V54:W54"/>
    <mergeCell ref="X54:AA54"/>
    <mergeCell ref="F55:G55"/>
    <mergeCell ref="H55:I55"/>
    <mergeCell ref="S55:U55"/>
    <mergeCell ref="V55:W55"/>
    <mergeCell ref="O55:P55"/>
    <mergeCell ref="A56:B56"/>
    <mergeCell ref="E56:G56"/>
    <mergeCell ref="H56:I56"/>
    <mergeCell ref="V56:W56"/>
    <mergeCell ref="I57:K57"/>
    <mergeCell ref="B58:C58"/>
    <mergeCell ref="D58:G58"/>
    <mergeCell ref="H58:I58"/>
    <mergeCell ref="P58:Q58"/>
    <mergeCell ref="R58:U58"/>
    <mergeCell ref="W61:Y61"/>
    <mergeCell ref="B62:C62"/>
    <mergeCell ref="H62:I62"/>
    <mergeCell ref="P62:Q62"/>
    <mergeCell ref="R62:U62"/>
    <mergeCell ref="V62:W62"/>
    <mergeCell ref="V58:W58"/>
    <mergeCell ref="H59:I59"/>
    <mergeCell ref="S59:U59"/>
    <mergeCell ref="V59:W59"/>
    <mergeCell ref="H60:I60"/>
    <mergeCell ref="S60:U60"/>
    <mergeCell ref="V60:W60"/>
    <mergeCell ref="A60:B60"/>
    <mergeCell ref="O59:P59"/>
    <mergeCell ref="H63:I63"/>
    <mergeCell ref="V63:W63"/>
    <mergeCell ref="H64:I64"/>
    <mergeCell ref="S64:U64"/>
    <mergeCell ref="V64:W64"/>
    <mergeCell ref="B66:C66"/>
    <mergeCell ref="H66:I66"/>
    <mergeCell ref="P66:Q66"/>
    <mergeCell ref="R66:U66"/>
    <mergeCell ref="V66:W66"/>
    <mergeCell ref="A64:B64"/>
    <mergeCell ref="O63:P63"/>
    <mergeCell ref="R71:U71"/>
    <mergeCell ref="B100:C100"/>
    <mergeCell ref="P100:Q100"/>
    <mergeCell ref="H67:I67"/>
    <mergeCell ref="V67:W67"/>
    <mergeCell ref="H68:I68"/>
    <mergeCell ref="S68:U68"/>
    <mergeCell ref="V68:W68"/>
    <mergeCell ref="W69:Y69"/>
    <mergeCell ref="A68:B68"/>
    <mergeCell ref="O67:P67"/>
    <mergeCell ref="B101:C101"/>
    <mergeCell ref="P101:Q101"/>
    <mergeCell ref="B140:C140"/>
    <mergeCell ref="D140:G140"/>
    <mergeCell ref="H140:I140"/>
    <mergeCell ref="J140:M140"/>
    <mergeCell ref="B71:C71"/>
    <mergeCell ref="D71:G71"/>
    <mergeCell ref="P71:Q71"/>
    <mergeCell ref="H144:I144"/>
    <mergeCell ref="F146:G146"/>
    <mergeCell ref="H146:I146"/>
    <mergeCell ref="A147:B147"/>
    <mergeCell ref="E147:G147"/>
    <mergeCell ref="H147:I147"/>
    <mergeCell ref="F141:G141"/>
    <mergeCell ref="H141:I141"/>
    <mergeCell ref="A142:B142"/>
    <mergeCell ref="E142:G142"/>
    <mergeCell ref="H142:I142"/>
    <mergeCell ref="I143:K143"/>
    <mergeCell ref="B144:C144"/>
    <mergeCell ref="D144:G144"/>
    <mergeCell ref="I160:K160"/>
    <mergeCell ref="B161:C161"/>
    <mergeCell ref="D161:G161"/>
    <mergeCell ref="I155:K155"/>
    <mergeCell ref="B156:C156"/>
    <mergeCell ref="D156:G156"/>
    <mergeCell ref="H156:I156"/>
    <mergeCell ref="F158:G158"/>
    <mergeCell ref="H158:I158"/>
    <mergeCell ref="A159:B159"/>
    <mergeCell ref="E159:G159"/>
    <mergeCell ref="H159:I159"/>
    <mergeCell ref="F153:G153"/>
    <mergeCell ref="H153:I153"/>
    <mergeCell ref="A154:B154"/>
    <mergeCell ref="E154:G154"/>
    <mergeCell ref="H154:I154"/>
    <mergeCell ref="J154:M154"/>
    <mergeCell ref="I148:K148"/>
    <mergeCell ref="B150:C150"/>
    <mergeCell ref="D150:G150"/>
    <mergeCell ref="H150:I150"/>
    <mergeCell ref="B151:C151"/>
    <mergeCell ref="D151:G151"/>
    <mergeCell ref="H151:I151"/>
  </mergeCells>
  <dataValidations count="3">
    <dataValidation type="list" allowBlank="1" showInputMessage="1" showErrorMessage="1" sqref="I4:J4" xr:uid="{00000000-0002-0000-0200-000000000000}">
      <formula1>"Sélectionner,LP-01_tout le Canada sauf Toronto, LP-01_Toronto"</formula1>
    </dataValidation>
    <dataValidation type="decimal" allowBlank="1" showInputMessage="1" showErrorMessage="1" errorTitle="Invalid Entry" error="Veuillez entrer une valeur comprise entre 0 et 7" prompt="Cette valeur ne peut pas dépasser 7%" sqref="J18:J21" xr:uid="{00000000-0002-0000-0200-000001000000}">
      <formula1>0</formula1>
      <formula2>0.07</formula2>
    </dataValidation>
    <dataValidation type="list" allowBlank="1" showInputMessage="1" showErrorMessage="1" sqref="J11" xr:uid="{00000000-0002-0000-0200-000002000000}">
      <formula1>$B$8:$J$8</formula1>
    </dataValidation>
  </dataValidations>
  <pageMargins left="0.7" right="0.7" top="0.75" bottom="0.75" header="0.3" footer="0.3"/>
  <pageSetup orientation="portrait" verticalDpi="0" r:id="rId1"/>
  <ignoredErrors>
    <ignoredError sqref="K13" unlockedFormula="1"/>
    <ignoredError sqref="H31" evalErro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'Data Validation'!$C$3:$C$15</xm:f>
          </x14:formula1>
          <xm:sqref>J13</xm:sqref>
        </x14:dataValidation>
        <x14:dataValidation type="list" allowBlank="1" showInputMessage="1" showErrorMessage="1" xr:uid="{00000000-0002-0000-0200-000004000000}">
          <x14:formula1>
            <xm:f>'Data Validation'!$D$3:$D$34</xm:f>
          </x14:formula1>
          <xm:sqref>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32"/>
  <sheetViews>
    <sheetView zoomScale="80" zoomScaleNormal="80" workbookViewId="0"/>
  </sheetViews>
  <sheetFormatPr defaultColWidth="8.85546875" defaultRowHeight="18" x14ac:dyDescent="0.25"/>
  <cols>
    <col min="1" max="1" width="4" style="283" customWidth="1"/>
    <col min="2" max="2" width="17.7109375" style="250" customWidth="1"/>
    <col min="3" max="3" width="13.7109375" style="250" customWidth="1"/>
    <col min="4" max="4" width="12.7109375" style="250" customWidth="1"/>
    <col min="5" max="5" width="10.7109375" style="250" customWidth="1"/>
    <col min="6" max="6" width="11.28515625" style="250" customWidth="1"/>
    <col min="7" max="7" width="10.42578125" style="250" customWidth="1"/>
    <col min="8" max="9" width="9" style="250" customWidth="1"/>
    <col min="10" max="10" width="20.140625" style="250" customWidth="1"/>
    <col min="11" max="11" width="8.140625" style="250" customWidth="1"/>
    <col min="12" max="12" width="12.42578125" style="250" customWidth="1"/>
    <col min="13" max="13" width="8.140625" style="250" customWidth="1"/>
    <col min="14" max="14" width="9.5703125" style="250" customWidth="1"/>
    <col min="15" max="15" width="3.85546875" style="250" customWidth="1"/>
    <col min="16" max="16" width="12.5703125" style="250" customWidth="1"/>
    <col min="17" max="17" width="13.7109375" style="250" customWidth="1"/>
    <col min="18" max="18" width="13.85546875" style="250" customWidth="1"/>
    <col min="19" max="19" width="10.28515625" style="250" bestFit="1" customWidth="1"/>
    <col min="20" max="20" width="10.5703125" style="250" bestFit="1" customWidth="1"/>
    <col min="21" max="21" width="10.28515625" style="250" bestFit="1" customWidth="1"/>
    <col min="22" max="22" width="12.28515625" style="250" bestFit="1" customWidth="1"/>
    <col min="23" max="23" width="12" style="250" customWidth="1"/>
    <col min="24" max="25" width="8.85546875" style="250"/>
    <col min="26" max="26" width="9.42578125" style="250" bestFit="1" customWidth="1"/>
    <col min="27" max="16384" width="8.85546875" style="250"/>
  </cols>
  <sheetData>
    <row r="1" spans="1:15" ht="31.9" customHeight="1" thickTop="1" x14ac:dyDescent="0.4">
      <c r="A1" s="234"/>
      <c r="B1" s="350" t="s">
        <v>127</v>
      </c>
      <c r="C1" s="351"/>
      <c r="D1" s="351"/>
      <c r="E1" s="351"/>
      <c r="F1" s="351"/>
      <c r="G1" s="351"/>
      <c r="H1" s="351"/>
      <c r="I1" s="351"/>
      <c r="J1" s="351"/>
      <c r="K1" s="351"/>
      <c r="L1" s="351"/>
      <c r="M1" s="351"/>
      <c r="N1" s="351"/>
      <c r="O1" s="208"/>
    </row>
    <row r="2" spans="1:15" s="259" customFormat="1" ht="61.9" customHeight="1" x14ac:dyDescent="0.25">
      <c r="A2" s="237"/>
      <c r="B2" s="360" t="s">
        <v>54</v>
      </c>
      <c r="C2" s="361"/>
      <c r="D2" s="361"/>
      <c r="E2" s="361"/>
      <c r="F2" s="361"/>
      <c r="G2" s="361"/>
      <c r="H2" s="361"/>
      <c r="I2" s="361"/>
      <c r="J2" s="361"/>
      <c r="K2" s="361"/>
      <c r="L2" s="361"/>
      <c r="M2" s="361"/>
      <c r="N2" s="361"/>
      <c r="O2" s="258"/>
    </row>
    <row r="3" spans="1:15" s="259" customFormat="1" ht="18.75" thickBot="1" x14ac:dyDescent="0.3">
      <c r="A3" s="237"/>
      <c r="B3" s="239"/>
      <c r="C3" s="40"/>
      <c r="D3" s="40"/>
      <c r="E3" s="40"/>
      <c r="F3" s="40"/>
      <c r="G3" s="40"/>
      <c r="H3" s="40"/>
      <c r="I3" s="40"/>
      <c r="J3" s="40"/>
      <c r="K3" s="40"/>
      <c r="L3" s="40"/>
      <c r="M3" s="40"/>
      <c r="N3" s="40"/>
      <c r="O3" s="243"/>
    </row>
    <row r="4" spans="1:15" s="259" customFormat="1" ht="42.6" customHeight="1" thickTop="1" thickBot="1" x14ac:dyDescent="0.3">
      <c r="A4" s="260">
        <v>1</v>
      </c>
      <c r="B4" s="318" t="s">
        <v>55</v>
      </c>
      <c r="C4" s="319"/>
      <c r="D4" s="319"/>
      <c r="E4" s="319"/>
      <c r="F4" s="319"/>
      <c r="G4" s="319"/>
      <c r="H4" s="319"/>
      <c r="I4" s="321" t="s">
        <v>4</v>
      </c>
      <c r="J4" s="322"/>
      <c r="K4" s="40"/>
      <c r="L4" s="40"/>
      <c r="M4" s="40"/>
      <c r="N4" s="40"/>
      <c r="O4" s="243"/>
    </row>
    <row r="5" spans="1:15" s="259" customFormat="1" ht="18.75" thickTop="1" x14ac:dyDescent="0.25">
      <c r="A5" s="245"/>
      <c r="B5" s="239"/>
      <c r="C5" s="40"/>
      <c r="D5" s="203"/>
      <c r="E5" s="203"/>
      <c r="F5" s="203"/>
      <c r="G5" s="203"/>
      <c r="H5" s="203"/>
      <c r="I5" s="203"/>
      <c r="J5" s="203"/>
      <c r="K5" s="40"/>
      <c r="L5" s="40"/>
      <c r="M5" s="40"/>
      <c r="N5" s="40"/>
      <c r="O5" s="243"/>
    </row>
    <row r="6" spans="1:15" s="259" customFormat="1" ht="14.45" customHeight="1" x14ac:dyDescent="0.25">
      <c r="A6" s="245"/>
      <c r="B6" s="202"/>
      <c r="C6" s="323" t="s">
        <v>126</v>
      </c>
      <c r="D6" s="323"/>
      <c r="E6" s="323"/>
      <c r="F6" s="323"/>
      <c r="G6" s="203"/>
      <c r="H6" s="203"/>
      <c r="I6" s="203"/>
      <c r="J6" s="203"/>
      <c r="K6" s="40"/>
      <c r="L6" s="40"/>
      <c r="M6" s="40"/>
      <c r="N6" s="194"/>
      <c r="O6" s="243"/>
    </row>
    <row r="7" spans="1:15" s="259" customFormat="1" x14ac:dyDescent="0.25">
      <c r="A7" s="245"/>
      <c r="B7" s="204"/>
      <c r="C7" s="195">
        <f t="shared" ref="C7:M7" si="0">IF($I$4="Select",0,IF($I$4=$B$64,D65,IF($I$4=$B$74,D75,IF($I$4=$B$83,D84,IF($I$4=$B$93,D94)))))</f>
        <v>0</v>
      </c>
      <c r="D7" s="195">
        <f t="shared" si="0"/>
        <v>0</v>
      </c>
      <c r="E7" s="195">
        <f t="shared" si="0"/>
        <v>0</v>
      </c>
      <c r="F7" s="195">
        <f t="shared" si="0"/>
        <v>0</v>
      </c>
      <c r="G7" s="195">
        <f t="shared" si="0"/>
        <v>0</v>
      </c>
      <c r="H7" s="195">
        <f t="shared" si="0"/>
        <v>0</v>
      </c>
      <c r="I7" s="195">
        <f t="shared" si="0"/>
        <v>0</v>
      </c>
      <c r="J7" s="195">
        <f t="shared" si="0"/>
        <v>0</v>
      </c>
      <c r="K7" s="195">
        <f t="shared" si="0"/>
        <v>0</v>
      </c>
      <c r="L7" s="195">
        <f t="shared" si="0"/>
        <v>0</v>
      </c>
      <c r="M7" s="195">
        <f t="shared" si="0"/>
        <v>0</v>
      </c>
      <c r="N7" s="194"/>
      <c r="O7" s="243"/>
    </row>
    <row r="8" spans="1:15" s="259" customFormat="1" x14ac:dyDescent="0.25">
      <c r="A8" s="245"/>
      <c r="B8" s="253" t="s">
        <v>4</v>
      </c>
      <c r="C8" s="289">
        <f>IF($I$4="Select",0,IF($I$4=$B$64,D66,IF($I$4=$B$74,D76,IF($I$4=$B$83,D85,IF($I$4=$B$93,D95)))))</f>
        <v>0</v>
      </c>
      <c r="D8" s="289">
        <f t="shared" ref="D8:M8" si="1">IF($I$4="Select",0,IF($I$4=$B$64,E66,IF($I$4=$B$74,E76,IF($I$4=$B$83,E85,IF($I$4=$B$93,E95)))))</f>
        <v>0</v>
      </c>
      <c r="E8" s="289">
        <f>IF($I$4="Select",0,IF($I$4=$B$64,F66,IF($I$4=$B$74,F76,IF($I$4=$B$83,F85,IF($I$4=$B$93,F95)))))</f>
        <v>0</v>
      </c>
      <c r="F8" s="289">
        <f t="shared" si="1"/>
        <v>0</v>
      </c>
      <c r="G8" s="289">
        <f t="shared" si="1"/>
        <v>0</v>
      </c>
      <c r="H8" s="289">
        <f t="shared" si="1"/>
        <v>0</v>
      </c>
      <c r="I8" s="289">
        <f t="shared" si="1"/>
        <v>0</v>
      </c>
      <c r="J8" s="289">
        <f t="shared" si="1"/>
        <v>0</v>
      </c>
      <c r="K8" s="289">
        <f t="shared" si="1"/>
        <v>0</v>
      </c>
      <c r="L8" s="289">
        <f t="shared" si="1"/>
        <v>0</v>
      </c>
      <c r="M8" s="289">
        <f t="shared" si="1"/>
        <v>0</v>
      </c>
      <c r="N8" s="194"/>
      <c r="O8" s="243"/>
    </row>
    <row r="9" spans="1:15" s="259" customFormat="1" x14ac:dyDescent="0.25">
      <c r="A9" s="245"/>
      <c r="B9" s="244"/>
      <c r="C9" s="40"/>
      <c r="D9" s="40"/>
      <c r="E9" s="40"/>
      <c r="F9" s="40"/>
      <c r="G9" s="40"/>
      <c r="H9" s="40"/>
      <c r="I9" s="40"/>
      <c r="J9" s="40"/>
      <c r="K9" s="40"/>
      <c r="L9" s="40"/>
      <c r="M9" s="40"/>
      <c r="N9" s="40"/>
      <c r="O9" s="243"/>
    </row>
    <row r="10" spans="1:15" s="259" customFormat="1" ht="18.75" thickBot="1" x14ac:dyDescent="0.3">
      <c r="A10" s="245"/>
      <c r="B10" s="239"/>
      <c r="C10" s="40"/>
      <c r="D10" s="40"/>
      <c r="E10" s="40"/>
      <c r="F10" s="40"/>
      <c r="G10" s="40"/>
      <c r="H10" s="40"/>
      <c r="I10" s="40"/>
      <c r="J10" s="40"/>
      <c r="K10" s="40"/>
      <c r="L10" s="40"/>
      <c r="M10" s="40"/>
      <c r="N10" s="40"/>
      <c r="O10" s="243"/>
    </row>
    <row r="11" spans="1:15" s="259" customFormat="1" ht="39.6" customHeight="1" thickTop="1" thickBot="1" x14ac:dyDescent="0.3">
      <c r="A11" s="260">
        <v>2</v>
      </c>
      <c r="B11" s="318" t="s">
        <v>183</v>
      </c>
      <c r="C11" s="319"/>
      <c r="D11" s="319"/>
      <c r="E11" s="319"/>
      <c r="F11" s="319"/>
      <c r="G11" s="319"/>
      <c r="H11" s="319"/>
      <c r="I11" s="320"/>
      <c r="J11" s="36" t="s">
        <v>4</v>
      </c>
      <c r="K11" s="196"/>
      <c r="L11" s="40"/>
      <c r="M11" s="40"/>
      <c r="N11" s="40"/>
      <c r="O11" s="243"/>
    </row>
    <row r="12" spans="1:15" s="259" customFormat="1" ht="19.5" thickTop="1" thickBot="1" x14ac:dyDescent="0.3">
      <c r="A12" s="245"/>
      <c r="B12" s="239"/>
      <c r="C12" s="40"/>
      <c r="D12" s="40"/>
      <c r="E12" s="40"/>
      <c r="F12" s="40"/>
      <c r="G12" s="40"/>
      <c r="H12" s="40"/>
      <c r="I12" s="40"/>
      <c r="J12" s="40"/>
      <c r="K12" s="261" t="s">
        <v>51</v>
      </c>
      <c r="L12" s="261" t="s">
        <v>19</v>
      </c>
      <c r="M12" s="199"/>
      <c r="N12" s="40"/>
      <c r="O12" s="243"/>
    </row>
    <row r="13" spans="1:15" s="259" customFormat="1" ht="21" customHeight="1" thickTop="1" x14ac:dyDescent="0.25">
      <c r="A13" s="260">
        <v>3</v>
      </c>
      <c r="B13" s="324" t="s">
        <v>5</v>
      </c>
      <c r="C13" s="325"/>
      <c r="D13" s="325"/>
      <c r="E13" s="325"/>
      <c r="F13" s="325"/>
      <c r="G13" s="326"/>
      <c r="H13" s="330" t="s">
        <v>6</v>
      </c>
      <c r="I13" s="331"/>
      <c r="J13" s="37" t="s">
        <v>44</v>
      </c>
      <c r="K13" s="198">
        <f>IF(J13="January",1,IF(J13="February",2,IF(J13="March",3,IF(J13="April",4,IF(J13="May",5,IF(J13="June",6,IF(J13="July",7,IF(J13="August",8,IF(J13="September",9,IF(J13="October",10,IF(J13="November",11,IF(J13="December",12))))))))))))</f>
        <v>5</v>
      </c>
      <c r="L13" s="199">
        <v>2018</v>
      </c>
      <c r="M13" s="199"/>
      <c r="N13" s="40"/>
      <c r="O13" s="243"/>
    </row>
    <row r="14" spans="1:15" s="259" customFormat="1" ht="21" customHeight="1" thickBot="1" x14ac:dyDescent="0.3">
      <c r="A14" s="245"/>
      <c r="B14" s="327"/>
      <c r="C14" s="328"/>
      <c r="D14" s="328"/>
      <c r="E14" s="328"/>
      <c r="F14" s="328"/>
      <c r="G14" s="329"/>
      <c r="H14" s="332" t="s">
        <v>7</v>
      </c>
      <c r="I14" s="333"/>
      <c r="J14" s="38">
        <v>10</v>
      </c>
      <c r="K14" s="199"/>
      <c r="L14" s="199">
        <v>2019</v>
      </c>
      <c r="M14" s="199"/>
      <c r="N14" s="40"/>
      <c r="O14" s="243"/>
    </row>
    <row r="15" spans="1:15" s="259" customFormat="1" ht="19.5" thickTop="1" thickBot="1" x14ac:dyDescent="0.3">
      <c r="A15" s="245"/>
      <c r="B15" s="40"/>
      <c r="C15" s="40"/>
      <c r="D15" s="40"/>
      <c r="E15" s="40"/>
      <c r="F15" s="40"/>
      <c r="G15" s="40"/>
      <c r="H15" s="40"/>
      <c r="I15" s="40"/>
      <c r="J15" s="40"/>
      <c r="K15" s="199"/>
      <c r="L15" s="199">
        <v>2020</v>
      </c>
      <c r="M15" s="199"/>
      <c r="N15" s="40"/>
      <c r="O15" s="243"/>
    </row>
    <row r="16" spans="1:15" s="259" customFormat="1" ht="32.450000000000003" customHeight="1" thickTop="1" thickBot="1" x14ac:dyDescent="0.3">
      <c r="A16" s="245"/>
      <c r="B16" s="318" t="s">
        <v>186</v>
      </c>
      <c r="C16" s="319"/>
      <c r="D16" s="319"/>
      <c r="E16" s="319"/>
      <c r="F16" s="319"/>
      <c r="G16" s="319"/>
      <c r="H16" s="319"/>
      <c r="I16" s="320"/>
      <c r="J16" s="402">
        <v>43782</v>
      </c>
      <c r="K16" s="199"/>
      <c r="L16" s="199">
        <v>2021</v>
      </c>
      <c r="M16" s="199"/>
      <c r="N16" s="40"/>
      <c r="O16" s="243"/>
    </row>
    <row r="17" spans="1:27" s="259" customFormat="1" ht="19.5" thickTop="1" thickBot="1" x14ac:dyDescent="0.3">
      <c r="A17" s="245"/>
      <c r="B17" s="40"/>
      <c r="C17" s="40"/>
      <c r="D17" s="40"/>
      <c r="E17" s="40"/>
      <c r="F17" s="40"/>
      <c r="G17" s="40"/>
      <c r="H17" s="40"/>
      <c r="I17" s="40"/>
      <c r="J17" s="40"/>
      <c r="K17" s="40"/>
      <c r="L17" s="40"/>
      <c r="M17" s="40"/>
      <c r="N17" s="40"/>
      <c r="O17" s="243"/>
    </row>
    <row r="18" spans="1:27" s="259" customFormat="1" ht="22.9" customHeight="1" thickTop="1" thickBot="1" x14ac:dyDescent="0.3">
      <c r="A18" s="260">
        <v>4</v>
      </c>
      <c r="B18" s="324" t="s">
        <v>8</v>
      </c>
      <c r="C18" s="325"/>
      <c r="D18" s="325"/>
      <c r="E18" s="325"/>
      <c r="F18" s="325"/>
      <c r="G18" s="325"/>
      <c r="H18" s="396" t="s">
        <v>9</v>
      </c>
      <c r="I18" s="396"/>
      <c r="J18" s="39">
        <v>0</v>
      </c>
      <c r="K18" s="40"/>
      <c r="L18" s="40"/>
      <c r="M18" s="40"/>
      <c r="N18" s="40"/>
      <c r="O18" s="243"/>
    </row>
    <row r="19" spans="1:27" s="259" customFormat="1" ht="22.9" customHeight="1" thickTop="1" thickBot="1" x14ac:dyDescent="0.3">
      <c r="A19" s="245"/>
      <c r="B19" s="327"/>
      <c r="C19" s="328"/>
      <c r="D19" s="328"/>
      <c r="E19" s="328"/>
      <c r="F19" s="328"/>
      <c r="G19" s="328"/>
      <c r="H19" s="397" t="s">
        <v>10</v>
      </c>
      <c r="I19" s="397"/>
      <c r="J19" s="39">
        <v>0</v>
      </c>
      <c r="K19" s="40"/>
      <c r="L19" s="40"/>
      <c r="M19" s="40"/>
      <c r="N19" s="40"/>
      <c r="O19" s="243"/>
    </row>
    <row r="20" spans="1:27" s="259" customFormat="1" ht="22.9" customHeight="1" thickTop="1" thickBot="1" x14ac:dyDescent="0.3">
      <c r="A20" s="245"/>
      <c r="B20" s="40"/>
      <c r="C20" s="40"/>
      <c r="D20" s="40"/>
      <c r="E20" s="40"/>
      <c r="F20" s="40"/>
      <c r="G20" s="40"/>
      <c r="H20" s="397" t="s">
        <v>30</v>
      </c>
      <c r="I20" s="397"/>
      <c r="J20" s="39">
        <v>0</v>
      </c>
      <c r="K20" s="40"/>
      <c r="L20" s="40"/>
      <c r="M20" s="40"/>
      <c r="N20" s="40"/>
      <c r="O20" s="243"/>
    </row>
    <row r="21" spans="1:27" s="259" customFormat="1" ht="22.9" customHeight="1" thickTop="1" x14ac:dyDescent="0.25">
      <c r="A21" s="245"/>
      <c r="B21" s="40"/>
      <c r="C21" s="40"/>
      <c r="D21" s="40"/>
      <c r="E21" s="40"/>
      <c r="F21" s="40"/>
      <c r="G21" s="40"/>
      <c r="H21" s="397" t="s">
        <v>31</v>
      </c>
      <c r="I21" s="397"/>
      <c r="J21" s="39">
        <v>0</v>
      </c>
      <c r="K21" s="40"/>
      <c r="L21" s="40"/>
      <c r="M21" s="40"/>
      <c r="N21" s="40"/>
      <c r="O21" s="243"/>
    </row>
    <row r="22" spans="1:27" ht="24.6" customHeight="1" thickBot="1" x14ac:dyDescent="0.3">
      <c r="A22" s="237"/>
      <c r="B22" s="200"/>
      <c r="C22" s="200"/>
      <c r="D22" s="200"/>
      <c r="E22" s="200"/>
      <c r="F22" s="200"/>
      <c r="G22" s="200"/>
      <c r="H22" s="200"/>
      <c r="I22" s="200"/>
      <c r="J22" s="200"/>
      <c r="K22" s="200"/>
      <c r="L22" s="200"/>
      <c r="M22" s="200"/>
      <c r="N22" s="200"/>
      <c r="O22" s="207"/>
    </row>
    <row r="23" spans="1:27" s="262" customFormat="1" ht="30.6" customHeight="1" thickTop="1" thickBot="1" x14ac:dyDescent="0.35">
      <c r="A23" s="246"/>
      <c r="B23" s="247"/>
      <c r="C23" s="247"/>
      <c r="D23" s="344" t="s">
        <v>167</v>
      </c>
      <c r="E23" s="344"/>
      <c r="F23" s="344"/>
      <c r="G23" s="344"/>
      <c r="H23" s="344"/>
      <c r="I23" s="375"/>
      <c r="J23" s="41" t="str">
        <f>IFERROR(SUM(E60,E61),"")</f>
        <v/>
      </c>
      <c r="K23" s="201"/>
      <c r="L23" s="201"/>
      <c r="M23" s="201"/>
      <c r="N23" s="201"/>
      <c r="O23" s="248"/>
    </row>
    <row r="24" spans="1:27" ht="11.45" customHeight="1" thickTop="1" thickBot="1" x14ac:dyDescent="0.4">
      <c r="A24" s="249"/>
      <c r="B24" s="205"/>
      <c r="C24" s="205"/>
      <c r="D24" s="205"/>
      <c r="E24" s="205"/>
      <c r="F24" s="205"/>
      <c r="G24" s="205"/>
      <c r="H24" s="205"/>
      <c r="I24" s="205"/>
      <c r="J24" s="1"/>
      <c r="K24" s="206"/>
      <c r="L24" s="206"/>
      <c r="M24" s="206"/>
      <c r="N24" s="206"/>
      <c r="O24" s="207"/>
    </row>
    <row r="25" spans="1:27" ht="30.75" thickTop="1" x14ac:dyDescent="0.4">
      <c r="A25" s="246"/>
      <c r="B25" s="345" t="s">
        <v>123</v>
      </c>
      <c r="C25" s="345"/>
      <c r="D25" s="345"/>
      <c r="E25" s="345"/>
      <c r="F25" s="345"/>
      <c r="G25" s="345"/>
      <c r="H25" s="345"/>
      <c r="I25" s="345"/>
      <c r="J25" s="345"/>
      <c r="K25" s="345"/>
      <c r="L25" s="345"/>
      <c r="M25" s="345"/>
      <c r="N25" s="345"/>
      <c r="O25" s="208"/>
      <c r="P25" s="263"/>
      <c r="Q25" s="263"/>
      <c r="R25" s="263"/>
      <c r="S25" s="263"/>
      <c r="T25" s="263"/>
      <c r="U25" s="263"/>
      <c r="V25" s="263"/>
      <c r="W25" s="263"/>
      <c r="X25" s="263"/>
      <c r="Y25" s="263"/>
      <c r="Z25" s="263"/>
      <c r="AA25" s="263"/>
    </row>
    <row r="26" spans="1:27" ht="18" customHeight="1" x14ac:dyDescent="0.4">
      <c r="A26" s="246"/>
      <c r="B26" s="209"/>
      <c r="C26" s="209"/>
      <c r="D26" s="209"/>
      <c r="E26" s="209"/>
      <c r="F26" s="209"/>
      <c r="G26" s="209"/>
      <c r="H26" s="209"/>
      <c r="I26" s="209"/>
      <c r="J26" s="209"/>
      <c r="K26" s="209"/>
      <c r="L26" s="209"/>
      <c r="M26" s="209"/>
      <c r="N26" s="209"/>
      <c r="O26" s="210"/>
      <c r="P26" s="263"/>
      <c r="Q26" s="263"/>
      <c r="R26" s="263"/>
      <c r="S26" s="263"/>
      <c r="T26" s="263"/>
      <c r="U26" s="263"/>
      <c r="V26" s="263"/>
      <c r="W26" s="263"/>
      <c r="X26" s="263"/>
      <c r="Y26" s="263"/>
      <c r="Z26" s="263"/>
      <c r="AA26" s="263"/>
    </row>
    <row r="27" spans="1:27" ht="27" x14ac:dyDescent="0.35">
      <c r="A27" s="42"/>
      <c r="B27" s="50">
        <v>43230</v>
      </c>
      <c r="C27" s="3"/>
      <c r="D27" s="356" t="s">
        <v>120</v>
      </c>
      <c r="E27" s="357"/>
      <c r="F27" s="357"/>
      <c r="G27" s="357"/>
      <c r="H27" s="388" t="e">
        <f>SUM(((J11*2%)+J11),((J11*2%)+J11)*0.8%)</f>
        <v>#VALUE!</v>
      </c>
      <c r="I27" s="388"/>
      <c r="J27" s="355"/>
      <c r="K27" s="355"/>
      <c r="L27" s="355"/>
      <c r="M27" s="355"/>
      <c r="N27" s="211"/>
      <c r="O27" s="4"/>
      <c r="P27" s="393"/>
      <c r="Q27" s="393"/>
      <c r="R27" s="383"/>
      <c r="S27" s="383"/>
      <c r="T27" s="383"/>
      <c r="U27" s="383"/>
      <c r="V27" s="378"/>
      <c r="W27" s="378"/>
      <c r="X27" s="379"/>
      <c r="Y27" s="379"/>
      <c r="Z27" s="379"/>
      <c r="AA27" s="379"/>
    </row>
    <row r="28" spans="1:27" ht="15.6" customHeight="1" x14ac:dyDescent="0.25">
      <c r="A28" s="43"/>
      <c r="B28" s="348" t="s">
        <v>122</v>
      </c>
      <c r="C28" s="348"/>
      <c r="D28" s="264">
        <f>DATE(L13,K13,J14)</f>
        <v>43230</v>
      </c>
      <c r="E28" s="394" t="e">
        <f>IF(LARGE(LP02_LP03_A,1)=H27,"Top of pay scale reached. ","Moving up a lockstep step")</f>
        <v>#VALUE!</v>
      </c>
      <c r="F28" s="394"/>
      <c r="G28" s="394"/>
      <c r="H28" s="387" t="e">
        <f>IF(COUNTIF(LP02_LP03_A,"&gt;"&amp;H27)&gt;=1,LARGE(LP02_LP03_A,COUNTIF(LP02_LP03_A,"&gt;"&amp;H27)),H27)</f>
        <v>#VALUE!</v>
      </c>
      <c r="I28" s="387"/>
      <c r="J28" s="5"/>
      <c r="K28" s="5"/>
      <c r="L28" s="6"/>
      <c r="M28" s="5"/>
      <c r="N28" s="212"/>
      <c r="O28" s="7"/>
      <c r="P28" s="384"/>
      <c r="Q28" s="384"/>
      <c r="R28" s="384"/>
      <c r="S28" s="392"/>
      <c r="T28" s="392"/>
      <c r="U28" s="392"/>
      <c r="V28" s="378"/>
      <c r="W28" s="378"/>
      <c r="X28" s="8"/>
      <c r="Y28" s="8"/>
      <c r="Z28" s="9"/>
      <c r="AA28" s="8"/>
    </row>
    <row r="29" spans="1:27" ht="24" customHeight="1" x14ac:dyDescent="0.35">
      <c r="A29" s="42"/>
      <c r="B29" s="10"/>
      <c r="C29" s="10"/>
      <c r="D29" s="10"/>
      <c r="E29" s="10"/>
      <c r="F29" s="10"/>
      <c r="G29" s="10"/>
      <c r="H29" s="159" t="e">
        <f>IF(LARGE(LP02_LP03_A,1)=H27,SUM(H28*J18),"0")</f>
        <v>#VALUE!</v>
      </c>
      <c r="I29" s="398" t="e">
        <f>IF(LARGE(LP02_LP03_A,1)=H27,"Lump sum performance award","Lump sum not applicable")</f>
        <v>#VALUE!</v>
      </c>
      <c r="J29" s="398"/>
      <c r="K29" s="398"/>
      <c r="L29" s="11"/>
      <c r="M29" s="11"/>
      <c r="N29" s="211"/>
      <c r="O29" s="4"/>
      <c r="P29" s="12"/>
      <c r="Q29" s="12"/>
      <c r="R29" s="12"/>
      <c r="S29" s="12"/>
      <c r="T29" s="12"/>
      <c r="U29" s="12"/>
      <c r="V29" s="13"/>
      <c r="W29" s="390"/>
      <c r="X29" s="390"/>
      <c r="Y29" s="390"/>
      <c r="Z29" s="13"/>
      <c r="AA29" s="13"/>
    </row>
    <row r="30" spans="1:27" ht="34.9" customHeight="1" x14ac:dyDescent="0.35">
      <c r="A30" s="42"/>
      <c r="B30" s="50">
        <v>43595</v>
      </c>
      <c r="C30" s="2"/>
      <c r="D30" s="356" t="s">
        <v>121</v>
      </c>
      <c r="E30" s="357"/>
      <c r="F30" s="357"/>
      <c r="G30" s="357"/>
      <c r="H30" s="388" t="e">
        <f>SUM(((H28*2%)+H28),((H28*2%)+H28)*0.2%)</f>
        <v>#VALUE!</v>
      </c>
      <c r="I30" s="388"/>
      <c r="J30" s="5"/>
      <c r="K30" s="5"/>
      <c r="L30" s="5"/>
      <c r="M30" s="5"/>
      <c r="N30" s="211"/>
      <c r="O30" s="4"/>
      <c r="P30" s="389"/>
      <c r="Q30" s="389"/>
      <c r="R30" s="383"/>
      <c r="S30" s="383"/>
      <c r="T30" s="383"/>
      <c r="U30" s="383"/>
      <c r="V30" s="391"/>
      <c r="W30" s="391"/>
      <c r="X30" s="8"/>
      <c r="Y30" s="8"/>
      <c r="Z30" s="8"/>
      <c r="AA30" s="8"/>
    </row>
    <row r="31" spans="1:27" ht="28.9" customHeight="1" x14ac:dyDescent="0.35">
      <c r="A31" s="246"/>
      <c r="B31" s="348" t="s">
        <v>122</v>
      </c>
      <c r="C31" s="348"/>
      <c r="D31" s="264">
        <f>DATE(L14,K13,J14)</f>
        <v>43595</v>
      </c>
      <c r="E31" s="386" t="e">
        <f>IF(LARGE(LP02_LP03_B,1)=H30,"Top of pay scale reached. ","Moving up a lockstep step")</f>
        <v>#VALUE!</v>
      </c>
      <c r="F31" s="386"/>
      <c r="G31" s="386"/>
      <c r="H31" s="387" t="e">
        <f>IF(COUNTIF(LP02_LP03_B,"&gt;"&amp;H30)&gt;=1,LARGE(LP02_LP03_B,COUNTIF(LP02_LP03_B,"&gt;"&amp;H30)),H30)</f>
        <v>#VALUE!</v>
      </c>
      <c r="I31" s="387"/>
      <c r="J31" s="5"/>
      <c r="K31" s="5"/>
      <c r="L31" s="5"/>
      <c r="M31" s="5"/>
      <c r="N31" s="211"/>
      <c r="O31" s="4"/>
      <c r="P31" s="12"/>
      <c r="Q31" s="12"/>
      <c r="R31" s="12"/>
      <c r="S31" s="14"/>
      <c r="T31" s="14"/>
      <c r="U31" s="15"/>
      <c r="V31" s="8"/>
      <c r="W31" s="8"/>
      <c r="X31" s="8"/>
      <c r="Y31" s="8"/>
      <c r="Z31" s="8"/>
      <c r="AA31" s="8"/>
    </row>
    <row r="32" spans="1:27" ht="37.9" customHeight="1" x14ac:dyDescent="0.35">
      <c r="A32" s="42"/>
      <c r="B32" s="16"/>
      <c r="C32" s="16"/>
      <c r="D32" s="17"/>
      <c r="E32" s="17"/>
      <c r="F32" s="17"/>
      <c r="G32" s="17"/>
      <c r="H32" s="53" t="e">
        <f>IF(LARGE(LP02_LP03_B,1)=H30,SUM(H31*J19),"0")</f>
        <v>#VALUE!</v>
      </c>
      <c r="I32" s="380" t="e">
        <f>IF(LARGE(LP02_LP03_B,1)=H30,"Lump sum performance award","Lump sum not applicable")</f>
        <v>#VALUE!</v>
      </c>
      <c r="J32" s="380"/>
      <c r="K32" s="380"/>
      <c r="L32" s="53"/>
      <c r="M32" s="53"/>
      <c r="N32" s="211"/>
      <c r="O32" s="4"/>
      <c r="P32" s="18"/>
      <c r="Q32" s="18"/>
      <c r="R32" s="19"/>
      <c r="S32" s="19"/>
      <c r="T32" s="19"/>
      <c r="U32" s="19"/>
      <c r="V32" s="54"/>
      <c r="W32" s="381"/>
      <c r="X32" s="381"/>
      <c r="Y32" s="381"/>
      <c r="Z32" s="54"/>
      <c r="AA32" s="54"/>
    </row>
    <row r="33" spans="1:27" ht="32.450000000000003" customHeight="1" x14ac:dyDescent="0.35">
      <c r="A33" s="42"/>
      <c r="B33" s="50">
        <v>43961</v>
      </c>
      <c r="C33" s="2"/>
      <c r="D33" s="357" t="s">
        <v>2</v>
      </c>
      <c r="E33" s="357"/>
      <c r="F33" s="357"/>
      <c r="G33" s="357"/>
      <c r="H33" s="388" t="e">
        <f>(H31*1.5%)+H31</f>
        <v>#VALUE!</v>
      </c>
      <c r="I33" s="388"/>
      <c r="J33" s="5"/>
      <c r="K33" s="5"/>
      <c r="L33" s="5"/>
      <c r="M33" s="5"/>
      <c r="N33" s="211"/>
      <c r="O33" s="4"/>
      <c r="P33" s="389"/>
      <c r="Q33" s="389"/>
      <c r="R33" s="383"/>
      <c r="S33" s="383"/>
      <c r="T33" s="383"/>
      <c r="U33" s="383"/>
      <c r="V33" s="382"/>
      <c r="W33" s="382"/>
      <c r="X33" s="8"/>
      <c r="Y33" s="8"/>
      <c r="Z33" s="8"/>
      <c r="AA33" s="8"/>
    </row>
    <row r="34" spans="1:27" ht="22.9" customHeight="1" x14ac:dyDescent="0.25">
      <c r="A34" s="246"/>
      <c r="B34" s="348" t="s">
        <v>122</v>
      </c>
      <c r="C34" s="348"/>
      <c r="D34" s="264">
        <f>DATE(L15,K13,J14)</f>
        <v>43961</v>
      </c>
      <c r="E34" s="386" t="e">
        <f>IF(LARGE(LP02_LP03_C,1)=H33,"Top of pay scale reached. ","Moving up a lockstep step")</f>
        <v>#VALUE!</v>
      </c>
      <c r="F34" s="386"/>
      <c r="G34" s="386"/>
      <c r="H34" s="387" t="e">
        <f>IF(COUNTIF(LP02_LP03_C,"&gt;"&amp;H33)&gt;=1,LARGE(LP02_LP03_C,COUNTIF(LP02_LP03_C,"&gt;"&amp;H33)),H33)</f>
        <v>#VALUE!</v>
      </c>
      <c r="I34" s="387"/>
      <c r="J34" s="355"/>
      <c r="K34" s="355"/>
      <c r="L34" s="355"/>
      <c r="M34" s="355"/>
      <c r="N34" s="211"/>
      <c r="O34" s="7"/>
      <c r="P34" s="384"/>
      <c r="Q34" s="384"/>
      <c r="R34" s="384"/>
      <c r="S34" s="383"/>
      <c r="T34" s="383"/>
      <c r="U34" s="383"/>
      <c r="V34" s="378"/>
      <c r="W34" s="378"/>
      <c r="X34" s="379"/>
      <c r="Y34" s="379"/>
      <c r="Z34" s="379"/>
      <c r="AA34" s="379"/>
    </row>
    <row r="35" spans="1:27" ht="29.45" customHeight="1" x14ac:dyDescent="0.35">
      <c r="A35" s="42"/>
      <c r="B35" s="5"/>
      <c r="C35" s="10"/>
      <c r="D35" s="17"/>
      <c r="E35" s="17"/>
      <c r="F35" s="17"/>
      <c r="G35" s="17"/>
      <c r="H35" s="53" t="e">
        <f>IF(LARGE(LP02_LP03_C,1)=H33,SUM(H34*J20),"0")</f>
        <v>#VALUE!</v>
      </c>
      <c r="I35" s="380" t="e">
        <f>IF(LARGE(LP02_LP03_C,1)=H33,"Lump sum performance award","Lump sum not applicable")</f>
        <v>#VALUE!</v>
      </c>
      <c r="J35" s="380"/>
      <c r="K35" s="380"/>
      <c r="L35" s="20"/>
      <c r="M35" s="20"/>
      <c r="N35" s="211"/>
      <c r="O35" s="4"/>
      <c r="P35" s="8"/>
      <c r="Q35" s="12"/>
      <c r="R35" s="19"/>
      <c r="S35" s="19"/>
      <c r="T35" s="19"/>
      <c r="U35" s="19"/>
      <c r="V35" s="54"/>
      <c r="W35" s="381"/>
      <c r="X35" s="381"/>
      <c r="Y35" s="381"/>
      <c r="Z35" s="21"/>
      <c r="AA35" s="21"/>
    </row>
    <row r="36" spans="1:27" ht="32.450000000000003" customHeight="1" x14ac:dyDescent="0.35">
      <c r="A36" s="42"/>
      <c r="B36" s="50">
        <v>44326</v>
      </c>
      <c r="C36" s="2"/>
      <c r="D36" s="357" t="s">
        <v>2</v>
      </c>
      <c r="E36" s="357"/>
      <c r="F36" s="357"/>
      <c r="G36" s="357"/>
      <c r="H36" s="388" t="e">
        <f>(H34*1.5%)+H34</f>
        <v>#VALUE!</v>
      </c>
      <c r="I36" s="388"/>
      <c r="J36" s="5"/>
      <c r="K36" s="5"/>
      <c r="L36" s="5"/>
      <c r="M36" s="5"/>
      <c r="N36" s="211"/>
      <c r="O36" s="4"/>
      <c r="P36" s="22"/>
      <c r="Q36" s="22"/>
      <c r="R36" s="23"/>
      <c r="S36" s="23"/>
      <c r="T36" s="23"/>
      <c r="U36" s="23"/>
      <c r="V36" s="382"/>
      <c r="W36" s="382"/>
      <c r="X36" s="8"/>
      <c r="Y36" s="8"/>
      <c r="Z36" s="8"/>
      <c r="AA36" s="8"/>
    </row>
    <row r="37" spans="1:27" x14ac:dyDescent="0.25">
      <c r="A37" s="246"/>
      <c r="B37" s="348" t="s">
        <v>122</v>
      </c>
      <c r="C37" s="348"/>
      <c r="D37" s="264">
        <f>DATE(L16,K13,J14)</f>
        <v>44326</v>
      </c>
      <c r="E37" s="386" t="e">
        <f>IF(LARGE(LP02_LP03_D,1)=H36,"Top of pay scale reached. ","Moving up a lockstep step")</f>
        <v>#VALUE!</v>
      </c>
      <c r="F37" s="386"/>
      <c r="G37" s="386"/>
      <c r="H37" s="387" t="e">
        <f>IF(COUNTIF(LP02_LP03_D,"&gt;"&amp;H36)&gt;=1,LARGE(LP02_LP03_D,COUNTIF(LP02_LP03_D,"&gt;"&amp;H36)),H36)</f>
        <v>#VALUE!</v>
      </c>
      <c r="I37" s="387"/>
      <c r="J37" s="5"/>
      <c r="K37" s="5"/>
      <c r="L37" s="5"/>
      <c r="M37" s="5"/>
      <c r="N37" s="211"/>
      <c r="O37" s="7"/>
      <c r="P37" s="12"/>
      <c r="Q37" s="12"/>
      <c r="R37" s="12"/>
      <c r="S37" s="23"/>
      <c r="T37" s="265"/>
      <c r="U37" s="23"/>
      <c r="V37" s="378"/>
      <c r="W37" s="378"/>
      <c r="X37" s="8"/>
      <c r="Y37" s="8"/>
      <c r="Z37" s="8"/>
      <c r="AA37" s="8"/>
    </row>
    <row r="38" spans="1:27" ht="24" customHeight="1" x14ac:dyDescent="0.25">
      <c r="A38" s="44"/>
      <c r="B38" s="5"/>
      <c r="C38" s="10"/>
      <c r="D38" s="17"/>
      <c r="E38" s="17"/>
      <c r="F38" s="17"/>
      <c r="G38" s="17"/>
      <c r="H38" s="53" t="e">
        <f>IF(LARGE(LP02_LP03_D,1)=H36,SUM(H37*J21),"0")</f>
        <v>#VALUE!</v>
      </c>
      <c r="I38" s="380" t="e">
        <f>IF(LARGE(LP02_LP03_D,1)=H36,"Lump sum performance award","Lump sum not applicable")</f>
        <v>#VALUE!</v>
      </c>
      <c r="J38" s="380"/>
      <c r="K38" s="380"/>
      <c r="L38" s="24"/>
      <c r="M38" s="24"/>
      <c r="N38" s="211"/>
      <c r="O38" s="25"/>
      <c r="P38" s="8"/>
      <c r="Q38" s="12"/>
      <c r="R38" s="26"/>
      <c r="S38" s="26"/>
      <c r="T38" s="27"/>
      <c r="U38" s="19"/>
      <c r="V38" s="54"/>
      <c r="W38" s="381"/>
      <c r="X38" s="381"/>
      <c r="Y38" s="381"/>
      <c r="Z38" s="28"/>
      <c r="AA38" s="28"/>
    </row>
    <row r="39" spans="1:27" ht="32.450000000000003" customHeight="1" x14ac:dyDescent="0.3">
      <c r="A39" s="44"/>
      <c r="B39" s="50">
        <v>44690</v>
      </c>
      <c r="C39" s="2"/>
      <c r="D39" s="372" t="s">
        <v>18</v>
      </c>
      <c r="E39" s="372"/>
      <c r="F39" s="372"/>
      <c r="G39" s="372"/>
      <c r="H39" s="372"/>
      <c r="I39" s="372"/>
      <c r="J39" s="53"/>
      <c r="K39" s="24"/>
      <c r="L39" s="24"/>
      <c r="M39" s="24"/>
      <c r="N39" s="211"/>
      <c r="O39" s="25"/>
      <c r="P39" s="385"/>
      <c r="Q39" s="385"/>
      <c r="R39" s="29"/>
      <c r="S39" s="29"/>
      <c r="T39" s="27"/>
      <c r="U39" s="12"/>
      <c r="V39" s="54"/>
      <c r="W39" s="54"/>
      <c r="X39" s="54"/>
      <c r="Y39" s="28"/>
      <c r="Z39" s="28"/>
      <c r="AA39" s="28"/>
    </row>
    <row r="40" spans="1:27" ht="16.899999999999999" customHeight="1" x14ac:dyDescent="0.25">
      <c r="A40" s="44"/>
      <c r="B40" s="30"/>
      <c r="C40" s="30"/>
      <c r="D40" s="31"/>
      <c r="E40" s="31"/>
      <c r="F40" s="31"/>
      <c r="G40" s="31"/>
      <c r="H40" s="53"/>
      <c r="I40" s="53"/>
      <c r="J40" s="53"/>
      <c r="K40" s="24"/>
      <c r="L40" s="24"/>
      <c r="M40" s="24"/>
      <c r="N40" s="211"/>
      <c r="O40" s="25"/>
      <c r="P40" s="55"/>
      <c r="Q40" s="55"/>
      <c r="R40" s="29"/>
      <c r="S40" s="29"/>
      <c r="T40" s="27"/>
      <c r="U40" s="12"/>
      <c r="V40" s="54"/>
      <c r="W40" s="54"/>
      <c r="X40" s="54"/>
      <c r="Y40" s="28"/>
      <c r="Z40" s="28"/>
      <c r="AA40" s="28"/>
    </row>
    <row r="41" spans="1:27" ht="14.45" customHeight="1" thickBot="1" x14ac:dyDescent="0.25">
      <c r="A41" s="45"/>
      <c r="B41" s="32"/>
      <c r="C41" s="32"/>
      <c r="D41" s="32"/>
      <c r="E41" s="32"/>
      <c r="F41" s="32"/>
      <c r="G41" s="32"/>
      <c r="H41" s="32"/>
      <c r="I41" s="32"/>
      <c r="J41" s="32"/>
      <c r="K41" s="32"/>
      <c r="L41" s="32"/>
      <c r="M41" s="32"/>
      <c r="N41" s="32"/>
      <c r="O41" s="33"/>
      <c r="P41" s="55"/>
      <c r="Q41" s="55"/>
      <c r="R41" s="29"/>
      <c r="S41" s="29"/>
      <c r="T41" s="27"/>
      <c r="U41" s="12"/>
      <c r="V41" s="54"/>
      <c r="W41" s="54"/>
      <c r="X41" s="54"/>
      <c r="Y41" s="28"/>
      <c r="Z41" s="28"/>
      <c r="AA41" s="28"/>
    </row>
    <row r="42" spans="1:27" ht="96" customHeight="1" thickBot="1" x14ac:dyDescent="0.3">
      <c r="A42" s="246"/>
      <c r="B42" s="338" t="s">
        <v>78</v>
      </c>
      <c r="C42" s="339"/>
      <c r="D42" s="339"/>
      <c r="E42" s="339"/>
      <c r="F42" s="339"/>
      <c r="G42" s="339"/>
      <c r="H42" s="339"/>
      <c r="I42" s="339"/>
      <c r="J42" s="339"/>
      <c r="K42" s="339"/>
      <c r="L42" s="339"/>
      <c r="M42" s="339"/>
      <c r="N42" s="339"/>
      <c r="O42" s="214"/>
      <c r="P42" s="34"/>
      <c r="Q42" s="8"/>
      <c r="R42" s="251"/>
      <c r="S42" s="8"/>
      <c r="T42" s="8"/>
      <c r="U42" s="8"/>
      <c r="V42" s="8"/>
      <c r="W42" s="8"/>
      <c r="X42" s="8"/>
      <c r="Y42" s="8"/>
      <c r="Z42" s="8"/>
      <c r="AA42" s="8"/>
    </row>
    <row r="43" spans="1:27" ht="32.450000000000003" customHeight="1" x14ac:dyDescent="0.25">
      <c r="A43" s="118" t="s">
        <v>75</v>
      </c>
      <c r="B43" s="119"/>
      <c r="C43" s="119"/>
      <c r="D43" s="119"/>
      <c r="E43" s="119"/>
      <c r="F43" s="119"/>
      <c r="G43" s="119"/>
      <c r="H43" s="119"/>
      <c r="I43" s="119"/>
      <c r="J43" s="120"/>
      <c r="K43" s="119"/>
      <c r="L43" s="120"/>
      <c r="M43" s="157"/>
      <c r="N43" s="157"/>
      <c r="O43" s="102"/>
      <c r="P43" s="102"/>
      <c r="Q43" s="119"/>
      <c r="R43" s="119"/>
      <c r="S43" s="119"/>
      <c r="T43" s="119"/>
      <c r="U43" s="119"/>
      <c r="V43" s="119"/>
      <c r="W43" s="119"/>
      <c r="X43" s="119"/>
      <c r="Y43" s="119"/>
      <c r="Z43" s="119"/>
      <c r="AA43" s="119"/>
    </row>
    <row r="44" spans="1:27" ht="32.450000000000003" customHeight="1" x14ac:dyDescent="0.25">
      <c r="A44" s="121"/>
      <c r="B44" s="119"/>
      <c r="C44" s="119"/>
      <c r="D44" s="119" t="s">
        <v>19</v>
      </c>
      <c r="E44" s="122" t="s">
        <v>20</v>
      </c>
      <c r="F44" s="122" t="s">
        <v>21</v>
      </c>
      <c r="G44" s="119"/>
      <c r="H44" s="119"/>
      <c r="I44" s="119"/>
      <c r="J44" s="120"/>
      <c r="K44" s="119"/>
      <c r="L44" s="120"/>
      <c r="M44" s="157"/>
      <c r="N44" s="164"/>
      <c r="O44" s="102"/>
      <c r="P44" s="157"/>
      <c r="Q44" s="119"/>
      <c r="R44" s="119"/>
      <c r="S44" s="122"/>
      <c r="T44" s="123"/>
      <c r="U44" s="119"/>
      <c r="V44" s="119"/>
      <c r="W44" s="119"/>
      <c r="X44" s="119"/>
      <c r="Y44" s="119"/>
      <c r="Z44" s="119"/>
      <c r="AA44" s="119"/>
    </row>
    <row r="45" spans="1:27" ht="32.450000000000003" customHeight="1" x14ac:dyDescent="0.25">
      <c r="A45" s="121"/>
      <c r="B45" s="119"/>
      <c r="C45" s="119"/>
      <c r="D45" s="120">
        <v>43230</v>
      </c>
      <c r="E45" s="122" t="str">
        <f>IF(COUNTIF(LP02_LP03_old_rates,"&gt;"&amp;J11)&gt;=1,LARGE(LP02_LP03_old_rates,COUNTIF(LP02_LP03_old_rates,"&gt;"&amp;J11)),J11)</f>
        <v>Select</v>
      </c>
      <c r="F45" s="157"/>
      <c r="G45" s="119"/>
      <c r="H45" s="119"/>
      <c r="I45" s="119"/>
      <c r="J45" s="120"/>
      <c r="K45" s="119"/>
      <c r="L45" s="120"/>
      <c r="M45" s="157"/>
      <c r="N45" s="164"/>
      <c r="O45" s="102"/>
      <c r="P45" s="157"/>
      <c r="Q45" s="119"/>
      <c r="R45" s="119"/>
      <c r="S45" s="122"/>
      <c r="T45" s="123"/>
      <c r="U45" s="119"/>
      <c r="V45" s="119"/>
      <c r="W45" s="119"/>
      <c r="X45" s="119"/>
      <c r="Y45" s="119"/>
      <c r="Z45" s="119"/>
      <c r="AA45" s="119"/>
    </row>
    <row r="46" spans="1:27" ht="32.450000000000003" customHeight="1" x14ac:dyDescent="0.25">
      <c r="A46" s="121"/>
      <c r="B46" s="119"/>
      <c r="C46" s="119"/>
      <c r="D46" s="120"/>
      <c r="E46" s="122"/>
      <c r="F46" s="126" t="str">
        <f>IF(LARGE(LP02_LP03_old_rates,1)=J11,SUM(E45*J18),"0")</f>
        <v>0</v>
      </c>
      <c r="G46" s="119"/>
      <c r="H46" s="119"/>
      <c r="I46" s="119"/>
      <c r="J46" s="120"/>
      <c r="K46" s="119"/>
      <c r="L46" s="120"/>
      <c r="M46" s="157"/>
      <c r="N46" s="164"/>
      <c r="O46" s="102"/>
      <c r="P46" s="157"/>
      <c r="Q46" s="119"/>
      <c r="R46" s="119"/>
      <c r="S46" s="122"/>
      <c r="T46" s="123"/>
      <c r="U46" s="119"/>
      <c r="V46" s="119"/>
      <c r="W46" s="119"/>
      <c r="X46" s="119"/>
      <c r="Y46" s="119"/>
      <c r="Z46" s="119"/>
      <c r="AA46" s="119"/>
    </row>
    <row r="47" spans="1:27" ht="32.450000000000003" customHeight="1" x14ac:dyDescent="0.25">
      <c r="A47" s="121"/>
      <c r="B47" s="124"/>
      <c r="C47" s="124"/>
      <c r="D47" s="122" t="s">
        <v>86</v>
      </c>
      <c r="E47" s="119" t="str">
        <f>IF(COUNTIF(LP02_LP03_old_rates,"&gt;"&amp;J11)&gt;=1,LARGE(LP02_LP03_old_rates,COUNTIF(LP02_LP03_old_rates,"&gt;"&amp;J11)),J11)</f>
        <v>Select</v>
      </c>
      <c r="F47" s="157"/>
      <c r="G47" s="119"/>
      <c r="H47" s="119"/>
      <c r="I47" s="119"/>
      <c r="J47" s="120"/>
      <c r="K47" s="157"/>
      <c r="L47" s="157"/>
      <c r="M47" s="125"/>
      <c r="N47" s="157"/>
      <c r="O47" s="119"/>
      <c r="P47" s="119"/>
      <c r="Q47" s="119"/>
      <c r="R47" s="95"/>
      <c r="S47" s="119"/>
      <c r="T47" s="126"/>
      <c r="U47" s="119"/>
      <c r="V47" s="119"/>
      <c r="W47" s="119"/>
      <c r="X47" s="119"/>
      <c r="Y47" s="125"/>
      <c r="Z47" s="125"/>
      <c r="AA47" s="125"/>
    </row>
    <row r="48" spans="1:27" ht="32.450000000000003" customHeight="1" x14ac:dyDescent="0.25">
      <c r="A48" s="121"/>
      <c r="B48" s="124"/>
      <c r="C48" s="124"/>
      <c r="D48" s="95">
        <v>43595</v>
      </c>
      <c r="E48" s="119"/>
      <c r="F48" s="126" t="str">
        <f>IF(LARGE(LP02_LP03_old_rates,1)=J11,SUM(E47*J19),"0")</f>
        <v>0</v>
      </c>
      <c r="G48" s="119"/>
      <c r="H48" s="119"/>
      <c r="I48" s="119"/>
      <c r="J48" s="120"/>
      <c r="K48" s="157"/>
      <c r="L48" s="157"/>
      <c r="M48" s="125"/>
      <c r="N48" s="157"/>
      <c r="O48" s="119"/>
      <c r="P48" s="119"/>
      <c r="Q48" s="119"/>
      <c r="R48" s="95"/>
      <c r="S48" s="119"/>
      <c r="T48" s="126"/>
      <c r="U48" s="119"/>
      <c r="V48" s="119"/>
      <c r="W48" s="119"/>
      <c r="X48" s="119"/>
      <c r="Y48" s="125"/>
      <c r="Z48" s="125"/>
      <c r="AA48" s="125"/>
    </row>
    <row r="49" spans="1:27" ht="69.599999999999994" customHeight="1" x14ac:dyDescent="0.25">
      <c r="A49" s="121"/>
      <c r="B49" s="119"/>
      <c r="C49" s="127"/>
      <c r="D49" s="122" t="s">
        <v>87</v>
      </c>
      <c r="E49" s="119" t="str">
        <f>IF(COUNTIF(LP02_LP03_old_rates,"&gt;"&amp;E47)&gt;=1,LARGE(LP02_LP03_old_rates,COUNTIF(LP02_LP03_old_rates,"&gt;"&amp;E47)),E47)</f>
        <v>Select</v>
      </c>
      <c r="F49" s="157"/>
      <c r="G49" s="119"/>
      <c r="H49" s="157"/>
      <c r="I49" s="157"/>
      <c r="J49" s="157"/>
      <c r="K49" s="157"/>
      <c r="L49" s="157"/>
      <c r="M49" s="125"/>
      <c r="N49" s="157"/>
      <c r="O49" s="120"/>
      <c r="P49" s="122"/>
      <c r="Q49" s="122"/>
      <c r="R49" s="157"/>
      <c r="S49" s="119"/>
      <c r="T49" s="126"/>
      <c r="U49" s="119"/>
      <c r="V49" s="119"/>
      <c r="W49" s="119"/>
      <c r="X49" s="119"/>
      <c r="Y49" s="128"/>
      <c r="Z49" s="128"/>
      <c r="AA49" s="128"/>
    </row>
    <row r="50" spans="1:27" ht="69.599999999999994" customHeight="1" x14ac:dyDescent="0.25">
      <c r="A50" s="121"/>
      <c r="B50" s="119"/>
      <c r="C50" s="127"/>
      <c r="D50" s="95">
        <v>43961</v>
      </c>
      <c r="E50" s="119"/>
      <c r="F50" s="126" t="str">
        <f>IF(LARGE(LP02_LP03_old_rates,1)=E47,SUM(E49*J20),"0")</f>
        <v>0</v>
      </c>
      <c r="G50" s="119"/>
      <c r="H50" s="157"/>
      <c r="I50" s="157"/>
      <c r="J50" s="157"/>
      <c r="K50" s="157"/>
      <c r="L50" s="157"/>
      <c r="M50" s="125"/>
      <c r="N50" s="157"/>
      <c r="O50" s="120"/>
      <c r="P50" s="122"/>
      <c r="Q50" s="122"/>
      <c r="R50" s="157"/>
      <c r="S50" s="119"/>
      <c r="T50" s="126"/>
      <c r="U50" s="119"/>
      <c r="V50" s="119"/>
      <c r="W50" s="119"/>
      <c r="X50" s="119"/>
      <c r="Y50" s="128"/>
      <c r="Z50" s="128"/>
      <c r="AA50" s="128"/>
    </row>
    <row r="51" spans="1:27" ht="32.450000000000003" customHeight="1" x14ac:dyDescent="0.25">
      <c r="A51" s="121"/>
      <c r="B51" s="119"/>
      <c r="C51" s="127"/>
      <c r="D51" s="122" t="s">
        <v>88</v>
      </c>
      <c r="E51" s="119" t="str">
        <f>IF(COUNTIF(LP02_LP03_old_rates,"&gt;"&amp;E49)&gt;=1,LARGE(LP02_LP03_old_rates,COUNTIF(LP02_LP03_old_rates,"&gt;"&amp;E49)),E49)</f>
        <v>Select</v>
      </c>
      <c r="F51" s="157"/>
      <c r="G51" s="128"/>
      <c r="H51" s="128"/>
      <c r="I51" s="128"/>
      <c r="J51" s="128"/>
      <c r="K51" s="128"/>
      <c r="L51" s="128"/>
      <c r="M51" s="128"/>
      <c r="N51" s="266"/>
      <c r="O51" s="119"/>
      <c r="P51" s="119"/>
      <c r="Q51" s="119"/>
      <c r="R51" s="122"/>
      <c r="S51" s="119"/>
      <c r="T51" s="119"/>
      <c r="U51" s="130"/>
      <c r="V51" s="130"/>
      <c r="W51" s="130"/>
      <c r="X51" s="128"/>
      <c r="Y51" s="128"/>
      <c r="Z51" s="128"/>
      <c r="AA51" s="128"/>
    </row>
    <row r="52" spans="1:27" ht="32.450000000000003" customHeight="1" x14ac:dyDescent="0.25">
      <c r="A52" s="121"/>
      <c r="B52" s="119"/>
      <c r="C52" s="127"/>
      <c r="D52" s="95">
        <v>44326</v>
      </c>
      <c r="E52" s="119"/>
      <c r="F52" s="126" t="str">
        <f>IF(LARGE(LP02_LP03_old_rates,1)=E49,SUM(E51*J21),"0")</f>
        <v>0</v>
      </c>
      <c r="G52" s="128"/>
      <c r="H52" s="128"/>
      <c r="I52" s="128"/>
      <c r="J52" s="128"/>
      <c r="K52" s="128"/>
      <c r="L52" s="128"/>
      <c r="M52" s="128"/>
      <c r="N52" s="266"/>
      <c r="O52" s="119"/>
      <c r="P52" s="119"/>
      <c r="Q52" s="119"/>
      <c r="R52" s="122"/>
      <c r="S52" s="119"/>
      <c r="T52" s="119"/>
      <c r="U52" s="130"/>
      <c r="V52" s="130"/>
      <c r="W52" s="130"/>
      <c r="X52" s="128"/>
      <c r="Y52" s="128"/>
      <c r="Z52" s="128"/>
      <c r="AA52" s="128"/>
    </row>
    <row r="53" spans="1:27" ht="71.45" customHeight="1" x14ac:dyDescent="0.25">
      <c r="A53" s="156"/>
      <c r="B53" s="124"/>
      <c r="C53" s="124"/>
      <c r="D53" s="122" t="s">
        <v>89</v>
      </c>
      <c r="E53" s="119" t="str">
        <f>IF(COUNTIF(LP02_LP03_old_rates,"&gt;"&amp;E51)&gt;=1,LARGE(LP02_LP03_old_rates,COUNTIF(LP02_LP03_old_rates,"&gt;"&amp;E51)),E51)</f>
        <v>Select</v>
      </c>
      <c r="F53" s="157"/>
      <c r="G53" s="119"/>
      <c r="H53" s="120"/>
      <c r="I53" s="127"/>
      <c r="J53" s="119"/>
      <c r="K53" s="128"/>
      <c r="L53" s="128"/>
      <c r="M53" s="132"/>
      <c r="N53" s="157"/>
      <c r="O53" s="119"/>
      <c r="P53" s="119"/>
      <c r="Q53" s="122"/>
      <c r="R53" s="122"/>
      <c r="S53" s="119"/>
      <c r="T53" s="119"/>
      <c r="U53" s="119"/>
      <c r="V53" s="130"/>
      <c r="W53" s="130"/>
      <c r="X53" s="128"/>
      <c r="Y53" s="128"/>
      <c r="Z53" s="128"/>
      <c r="AA53" s="128"/>
    </row>
    <row r="54" spans="1:27" ht="32.450000000000003" customHeight="1" x14ac:dyDescent="0.25">
      <c r="A54" s="133"/>
      <c r="B54" s="127"/>
      <c r="C54" s="119"/>
      <c r="D54" s="95">
        <v>44691</v>
      </c>
      <c r="E54" s="119"/>
      <c r="F54" s="126"/>
      <c r="G54" s="119"/>
      <c r="H54" s="134"/>
      <c r="I54" s="127"/>
      <c r="J54" s="119"/>
      <c r="K54" s="128"/>
      <c r="L54" s="132"/>
      <c r="M54" s="132"/>
      <c r="N54" s="157"/>
      <c r="O54" s="119"/>
      <c r="P54" s="119"/>
      <c r="Q54" s="135"/>
      <c r="R54" s="135"/>
      <c r="S54" s="119"/>
      <c r="T54" s="102"/>
      <c r="U54" s="102"/>
      <c r="V54" s="130"/>
      <c r="W54" s="136"/>
      <c r="X54" s="128"/>
      <c r="Y54" s="128"/>
      <c r="Z54" s="137"/>
      <c r="AA54" s="128"/>
    </row>
    <row r="55" spans="1:27" ht="32.450000000000003" customHeight="1" x14ac:dyDescent="0.25">
      <c r="A55" s="118" t="s">
        <v>77</v>
      </c>
      <c r="B55" s="127"/>
      <c r="C55" s="119"/>
      <c r="D55" s="122"/>
      <c r="E55" s="119"/>
      <c r="F55" s="126"/>
      <c r="G55" s="119"/>
      <c r="H55" s="134"/>
      <c r="I55" s="127"/>
      <c r="J55" s="119"/>
      <c r="K55" s="128"/>
      <c r="L55" s="132"/>
      <c r="M55" s="132"/>
      <c r="N55" s="157"/>
      <c r="O55" s="119"/>
      <c r="P55" s="119"/>
      <c r="Q55" s="135"/>
      <c r="R55" s="135"/>
      <c r="S55" s="119"/>
      <c r="T55" s="102"/>
      <c r="U55" s="102"/>
      <c r="V55" s="130"/>
      <c r="W55" s="136"/>
      <c r="X55" s="128"/>
      <c r="Y55" s="128"/>
      <c r="Z55" s="137"/>
      <c r="AA55" s="128"/>
    </row>
    <row r="56" spans="1:27" ht="97.9" customHeight="1" x14ac:dyDescent="0.25">
      <c r="A56" s="133"/>
      <c r="B56" s="127"/>
      <c r="C56" s="119"/>
      <c r="D56" s="122"/>
      <c r="E56" s="122">
        <v>2018</v>
      </c>
      <c r="F56" s="138" t="s">
        <v>34</v>
      </c>
      <c r="G56" s="267" t="s">
        <v>33</v>
      </c>
      <c r="H56" s="122" t="s">
        <v>35</v>
      </c>
      <c r="I56" s="267" t="s">
        <v>36</v>
      </c>
      <c r="J56" s="122" t="s">
        <v>37</v>
      </c>
      <c r="K56" s="267" t="s">
        <v>38</v>
      </c>
      <c r="L56" s="139"/>
      <c r="M56" s="128"/>
      <c r="N56" s="122"/>
      <c r="O56" s="302"/>
      <c r="P56" s="138"/>
      <c r="Q56" s="267"/>
      <c r="R56" s="122"/>
      <c r="S56" s="267"/>
      <c r="T56" s="122"/>
      <c r="U56" s="267"/>
      <c r="V56" s="130"/>
      <c r="W56" s="136"/>
      <c r="X56" s="128"/>
      <c r="Y56" s="128"/>
      <c r="Z56" s="137"/>
      <c r="AA56" s="128"/>
    </row>
    <row r="57" spans="1:27" ht="32.450000000000003" customHeight="1" x14ac:dyDescent="0.25">
      <c r="A57" s="133"/>
      <c r="B57" s="140"/>
      <c r="C57" s="140"/>
      <c r="D57" s="101" t="s">
        <v>22</v>
      </c>
      <c r="E57" s="102" t="e">
        <f>SUM((H27/26.088/10*(NETWORKDAYS(B27,D28)))-(J11/26.088/10*(NETWORKDAYS(B27,D28))),(H28/26.088/10*(NETWORKDAYS(D28+1,B30)))-(E47/26.088/10*(NETWORKDAYS(D28+1,B30))))</f>
        <v>#VALUE!</v>
      </c>
      <c r="F57" s="102" t="e">
        <f>IF(J16&lt;=D31,SUM((H30/26.088/10*(NETWORKDAYS(B30,J16)))-(E47/26.088/10*(NETWORKDAYS(B30,J16)))),SUM((H30/26.088/10*(NETWORKDAYS(B30,D31)))-(E47/26.088/10*(NETWORKDAYS(B30,D31)))))</f>
        <v>#VALUE!</v>
      </c>
      <c r="G57" s="102" t="e">
        <f>IF(AND(J16&lt;=D31)=TRUE,0,IF(AND(J16&gt;D31,J16&gt;B33),SUM((H31/26.088/10*(NETWORKDAYS(D31,B33)))-(E49/26.088/10*(NETWORKDAYS(D31,B33)))),SUM((H31/26.088/10*(NETWORKDAYS(D31,J16)))-(E49/26.088/10*(NETWORKDAYS(D31,J16))))))</f>
        <v>#VALUE!</v>
      </c>
      <c r="H57" s="102">
        <f>IF(AND(J16&lt;=B33)=TRUE,0,IF(AND(J16&gt;B33,J16&gt;D34),SUM((H33/26.088/10*(NETWORKDAYS(B33,D34)))-(E51/26.088/10*(NETWORKDAYS(B33,D34)))),SUM((H33/26.088/10*(NETWORKDAYS(B33,J16)))-(E51/26.088/10*(NETWORKDAYS(B33,J16))))))</f>
        <v>0</v>
      </c>
      <c r="I57" s="102">
        <f>IF(AND(J16&lt;=D34)=TRUE,0,IF(AND(J16&gt;D34,J16&gt;B36),SUM((H34/26.088/10*(NETWORKDAYS(D34,B36)))-(E51/26.088/10*(NETWORKDAYS(D34,B36)))),SUM((H34/26.088/10*(NETWORKDAYS(D34,J16)))-(E51/26.088/10*(NETWORKDAYS(D34,J16))))))</f>
        <v>0</v>
      </c>
      <c r="J57" s="136">
        <f>IF(AND(J16&lt;=B36)=TRUE,0,IF(AND(J16&gt;B36,J16&gt;D37),SUM((H36/26.088/10*(NETWORKDAYS(B36,D37)))-(E53/26.088/10*(NETWORKDAYS(B36,D37)))),SUM((H36/26.088/10*(NETWORKDAYS(B36,J16)))-(E53/26.088/10*(NETWORKDAYS(B36,J16))))))</f>
        <v>0</v>
      </c>
      <c r="K57" s="304">
        <f>IF(AND(J16&lt;=D37)=TRUE,0,IF(AND(J16&gt;D37,J16&gt;B39),SUM((H37/26.088/10*(NETWORKDAYS(D37,B39)))-(E53/26.088/10*(NETWORKDAYS(D37,B39)))),SUM((H37/26.088/10*(NETWORKDAYS(D37,J16)))-(E53/26.088/10*(NETWORKDAYS(D37,J16))))))</f>
        <v>0</v>
      </c>
      <c r="L57" s="128"/>
      <c r="M57" s="128"/>
      <c r="N57" s="157"/>
      <c r="O57" s="102"/>
      <c r="P57" s="102"/>
      <c r="Q57" s="102"/>
      <c r="R57" s="102"/>
      <c r="S57" s="102"/>
      <c r="T57" s="136"/>
      <c r="U57" s="136"/>
      <c r="V57" s="130"/>
      <c r="W57" s="136"/>
      <c r="X57" s="128"/>
      <c r="Y57" s="128"/>
      <c r="Z57" s="137"/>
      <c r="AA57" s="128"/>
    </row>
    <row r="58" spans="1:27" ht="32.450000000000003" customHeight="1" x14ac:dyDescent="0.25">
      <c r="A58" s="133"/>
      <c r="B58" s="140"/>
      <c r="C58" s="140"/>
      <c r="D58" s="101" t="s">
        <v>39</v>
      </c>
      <c r="E58" s="102" t="e">
        <f>IF(E57&gt;0,H29-F46,0)</f>
        <v>#VALUE!</v>
      </c>
      <c r="F58" s="102" t="e">
        <f>IF(OR(F57=0,G57=0)=TRUE,0,H32-F48)</f>
        <v>#VALUE!</v>
      </c>
      <c r="G58" s="102"/>
      <c r="H58" s="102">
        <f>IF(OR(H57=0,I57=0)=TRUE,0,H35-F50)</f>
        <v>0</v>
      </c>
      <c r="I58" s="102"/>
      <c r="J58" s="102">
        <f>IF(OR(J57=0,K57=0)=TRUE,0,H38-F52)</f>
        <v>0</v>
      </c>
      <c r="K58" s="102"/>
      <c r="L58" s="128"/>
      <c r="M58" s="128"/>
      <c r="N58" s="157"/>
      <c r="O58" s="102"/>
      <c r="P58" s="102"/>
      <c r="Q58" s="127"/>
      <c r="R58" s="299"/>
      <c r="S58" s="119"/>
      <c r="T58" s="126"/>
      <c r="U58" s="102"/>
      <c r="V58" s="130"/>
      <c r="W58" s="136"/>
      <c r="X58" s="128"/>
      <c r="Y58" s="128"/>
      <c r="Z58" s="137"/>
      <c r="AA58" s="128"/>
    </row>
    <row r="59" spans="1:27" ht="32.450000000000003" customHeight="1" x14ac:dyDescent="0.25">
      <c r="A59" s="133"/>
      <c r="B59" s="140"/>
      <c r="C59" s="140"/>
      <c r="D59" s="101"/>
      <c r="E59" s="102"/>
      <c r="F59" s="102"/>
      <c r="G59" s="102"/>
      <c r="H59" s="102"/>
      <c r="I59" s="102"/>
      <c r="J59" s="102"/>
      <c r="K59" s="102"/>
      <c r="L59" s="128"/>
      <c r="M59" s="128"/>
      <c r="N59" s="157"/>
      <c r="O59" s="119"/>
      <c r="P59" s="141"/>
      <c r="Q59" s="142"/>
      <c r="R59" s="135"/>
      <c r="S59" s="119"/>
      <c r="T59" s="126"/>
      <c r="U59" s="102"/>
      <c r="V59" s="130"/>
      <c r="W59" s="136"/>
      <c r="X59" s="128"/>
      <c r="Y59" s="128"/>
      <c r="Z59" s="137"/>
      <c r="AA59" s="128"/>
    </row>
    <row r="60" spans="1:27" ht="32.450000000000003" customHeight="1" x14ac:dyDescent="0.25">
      <c r="A60" s="133"/>
      <c r="B60" s="127"/>
      <c r="C60" s="119"/>
      <c r="D60" s="101" t="s">
        <v>52</v>
      </c>
      <c r="E60" s="143" t="e">
        <f>SUM(E57:K57)</f>
        <v>#VALUE!</v>
      </c>
      <c r="F60" s="119"/>
      <c r="G60" s="119"/>
      <c r="H60" s="127"/>
      <c r="I60" s="144"/>
      <c r="J60" s="120"/>
      <c r="K60" s="127"/>
      <c r="L60" s="120"/>
      <c r="M60" s="127"/>
      <c r="N60" s="268"/>
      <c r="O60" s="127"/>
      <c r="P60" s="120"/>
      <c r="Q60" s="145"/>
      <c r="R60" s="142"/>
      <c r="S60" s="146"/>
      <c r="T60" s="126"/>
      <c r="U60" s="102"/>
      <c r="V60" s="130"/>
      <c r="W60" s="136"/>
      <c r="X60" s="102"/>
      <c r="Y60" s="119"/>
      <c r="Z60" s="119"/>
      <c r="AA60" s="119"/>
    </row>
    <row r="61" spans="1:27" ht="40.15" customHeight="1" x14ac:dyDescent="0.25">
      <c r="A61" s="133"/>
      <c r="B61" s="127"/>
      <c r="C61" s="119"/>
      <c r="D61" s="101" t="s">
        <v>53</v>
      </c>
      <c r="E61" s="147" t="e">
        <f>SUM(E58:K58)</f>
        <v>#VALUE!</v>
      </c>
      <c r="F61" s="119"/>
      <c r="G61" s="149"/>
      <c r="H61" s="119"/>
      <c r="I61" s="119"/>
      <c r="J61" s="119"/>
      <c r="K61" s="119"/>
      <c r="L61" s="119"/>
      <c r="M61" s="119"/>
      <c r="N61" s="157"/>
      <c r="O61" s="119"/>
      <c r="P61" s="120"/>
      <c r="Q61" s="145"/>
      <c r="R61" s="120"/>
      <c r="S61" s="146"/>
      <c r="T61" s="126"/>
      <c r="U61" s="126"/>
      <c r="V61" s="119"/>
      <c r="W61" s="150"/>
      <c r="X61" s="119"/>
      <c r="Y61" s="119"/>
      <c r="Z61" s="119"/>
      <c r="AA61" s="119"/>
    </row>
    <row r="62" spans="1:27" x14ac:dyDescent="0.25">
      <c r="A62" s="121"/>
      <c r="B62" s="119"/>
      <c r="C62" s="119"/>
      <c r="D62" s="119"/>
      <c r="E62" s="119"/>
      <c r="F62" s="119"/>
      <c r="G62" s="119"/>
      <c r="H62" s="119"/>
      <c r="I62" s="119"/>
      <c r="J62" s="119"/>
      <c r="K62" s="119"/>
      <c r="L62" s="119"/>
      <c r="M62" s="119"/>
      <c r="N62" s="157"/>
      <c r="O62" s="157"/>
      <c r="P62" s="269"/>
      <c r="Q62" s="157"/>
      <c r="R62" s="164"/>
      <c r="S62" s="166"/>
      <c r="T62" s="166"/>
      <c r="U62" s="166"/>
      <c r="V62" s="157"/>
      <c r="W62" s="166"/>
      <c r="X62" s="119"/>
      <c r="Y62" s="119"/>
      <c r="Z62" s="119"/>
      <c r="AA62" s="119"/>
    </row>
    <row r="63" spans="1:27" x14ac:dyDescent="0.25">
      <c r="A63" s="118" t="s">
        <v>73</v>
      </c>
      <c r="B63" s="119"/>
      <c r="C63" s="119"/>
      <c r="D63" s="119"/>
      <c r="E63" s="119"/>
      <c r="F63" s="119"/>
      <c r="G63" s="119"/>
      <c r="H63" s="119"/>
      <c r="I63" s="119"/>
      <c r="J63" s="119"/>
      <c r="K63" s="119"/>
      <c r="L63" s="119"/>
      <c r="M63" s="119"/>
      <c r="N63" s="157"/>
      <c r="O63" s="157"/>
      <c r="P63" s="164"/>
      <c r="Q63" s="157"/>
      <c r="R63" s="176"/>
      <c r="S63" s="166"/>
      <c r="T63" s="166"/>
      <c r="U63" s="166"/>
      <c r="V63" s="157"/>
      <c r="W63" s="166"/>
      <c r="X63" s="119"/>
      <c r="Y63" s="119"/>
      <c r="Z63" s="119"/>
      <c r="AA63" s="119"/>
    </row>
    <row r="64" spans="1:27" x14ac:dyDescent="0.25">
      <c r="A64" s="121"/>
      <c r="B64" s="151" t="s">
        <v>124</v>
      </c>
      <c r="C64" s="160"/>
      <c r="D64" s="151" t="s">
        <v>29</v>
      </c>
      <c r="E64" s="160"/>
      <c r="F64" s="160"/>
      <c r="G64" s="160"/>
      <c r="H64" s="160"/>
      <c r="I64" s="160"/>
      <c r="J64" s="119"/>
      <c r="K64" s="119"/>
      <c r="L64" s="119"/>
      <c r="M64" s="161"/>
      <c r="N64" s="161"/>
      <c r="O64" s="161"/>
      <c r="P64" s="167"/>
      <c r="Q64" s="161"/>
      <c r="R64" s="270"/>
      <c r="S64" s="165"/>
      <c r="T64" s="165"/>
      <c r="U64" s="166"/>
      <c r="V64" s="157"/>
      <c r="W64" s="166"/>
      <c r="X64" s="119"/>
      <c r="Y64" s="119"/>
      <c r="Z64" s="119"/>
      <c r="AA64" s="119"/>
    </row>
    <row r="65" spans="1:27" x14ac:dyDescent="0.25">
      <c r="A65" s="121"/>
      <c r="B65" s="160"/>
      <c r="C65" s="160"/>
      <c r="D65" s="153">
        <v>1</v>
      </c>
      <c r="E65" s="153">
        <v>2</v>
      </c>
      <c r="F65" s="153">
        <v>3</v>
      </c>
      <c r="G65" s="153">
        <v>4</v>
      </c>
      <c r="H65" s="153">
        <v>5</v>
      </c>
      <c r="I65" s="153">
        <v>6</v>
      </c>
      <c r="J65" s="119">
        <v>7</v>
      </c>
      <c r="K65" s="119">
        <v>8</v>
      </c>
      <c r="L65" s="119" t="str">
        <f>""</f>
        <v/>
      </c>
      <c r="M65" s="119" t="str">
        <f>""</f>
        <v/>
      </c>
      <c r="N65" s="119" t="str">
        <f>""</f>
        <v/>
      </c>
      <c r="O65" s="271"/>
      <c r="P65" s="272"/>
      <c r="Q65" s="271"/>
      <c r="R65" s="273"/>
      <c r="S65" s="271"/>
      <c r="T65" s="274"/>
      <c r="U65" s="275"/>
      <c r="V65" s="275"/>
      <c r="W65" s="276"/>
      <c r="X65" s="157"/>
      <c r="Y65" s="157"/>
      <c r="Z65" s="157"/>
      <c r="AA65" s="157"/>
    </row>
    <row r="66" spans="1:27" x14ac:dyDescent="0.25">
      <c r="A66" s="121"/>
      <c r="B66" s="162" t="s">
        <v>0</v>
      </c>
      <c r="C66" s="151" t="s">
        <v>1</v>
      </c>
      <c r="D66" s="163">
        <v>106120</v>
      </c>
      <c r="E66" s="163">
        <f>(D66*4.7%)+D66</f>
        <v>111107.64</v>
      </c>
      <c r="F66" s="163">
        <f t="shared" ref="F66:K66" si="2">(E66*4.7%)+E66</f>
        <v>116329.69908000001</v>
      </c>
      <c r="G66" s="163">
        <f t="shared" si="2"/>
        <v>121797.19493676</v>
      </c>
      <c r="H66" s="163">
        <f t="shared" si="2"/>
        <v>127521.66309878773</v>
      </c>
      <c r="I66" s="163">
        <f t="shared" si="2"/>
        <v>133515.18126443075</v>
      </c>
      <c r="J66" s="163">
        <f t="shared" si="2"/>
        <v>139790.394783859</v>
      </c>
      <c r="K66" s="163">
        <f t="shared" si="2"/>
        <v>146360.54333870037</v>
      </c>
      <c r="L66" s="119" t="str">
        <f>""</f>
        <v/>
      </c>
      <c r="M66" s="119" t="str">
        <f>""</f>
        <v/>
      </c>
      <c r="N66" s="119" t="str">
        <f>""</f>
        <v/>
      </c>
      <c r="O66" s="275"/>
      <c r="P66" s="273"/>
      <c r="Q66" s="275"/>
      <c r="R66" s="270"/>
      <c r="S66" s="275"/>
      <c r="T66" s="277"/>
      <c r="U66" s="178"/>
      <c r="V66" s="178"/>
      <c r="W66" s="157"/>
      <c r="X66" s="157"/>
      <c r="Y66" s="157"/>
      <c r="Z66" s="157"/>
      <c r="AA66" s="157"/>
    </row>
    <row r="67" spans="1:27" x14ac:dyDescent="0.25">
      <c r="A67" s="121"/>
      <c r="B67" s="162"/>
      <c r="C67" s="151" t="s">
        <v>23</v>
      </c>
      <c r="D67" s="152">
        <f>SUM(((D66*2%)+D66),((D66*2%)+D66)*0.8%)</f>
        <v>109108.33919999999</v>
      </c>
      <c r="E67" s="152">
        <f t="shared" ref="E67:K67" si="3">SUM(((E66*2%)+E66),((E66*2%)+E66)*0.8%)</f>
        <v>114236.43114239999</v>
      </c>
      <c r="F67" s="152">
        <f t="shared" si="3"/>
        <v>119605.54340609281</v>
      </c>
      <c r="G67" s="152">
        <f t="shared" si="3"/>
        <v>125227.00394617917</v>
      </c>
      <c r="H67" s="152">
        <f t="shared" si="3"/>
        <v>131112.67313164959</v>
      </c>
      <c r="I67" s="152">
        <f t="shared" si="3"/>
        <v>137274.96876883713</v>
      </c>
      <c r="J67" s="152">
        <f t="shared" si="3"/>
        <v>143726.89230097248</v>
      </c>
      <c r="K67" s="152">
        <f t="shared" si="3"/>
        <v>150482.05623911816</v>
      </c>
      <c r="L67" s="119" t="str">
        <f>""</f>
        <v/>
      </c>
      <c r="M67" s="119" t="str">
        <f>""</f>
        <v/>
      </c>
      <c r="N67" s="119" t="str">
        <f>""</f>
        <v/>
      </c>
      <c r="O67" s="178"/>
      <c r="P67" s="278"/>
      <c r="Q67" s="178"/>
      <c r="R67" s="279"/>
      <c r="S67" s="178"/>
      <c r="T67" s="280"/>
      <c r="U67" s="178"/>
      <c r="V67" s="178"/>
      <c r="W67" s="157"/>
      <c r="X67" s="157"/>
      <c r="Y67" s="157"/>
      <c r="Z67" s="157"/>
      <c r="AA67" s="157"/>
    </row>
    <row r="68" spans="1:27" x14ac:dyDescent="0.25">
      <c r="A68" s="121"/>
      <c r="B68" s="162"/>
      <c r="C68" s="151" t="s">
        <v>24</v>
      </c>
      <c r="D68" s="152">
        <f>SUM(((D67*2%)+D67),((D67*2%)+D67)*0.2%)</f>
        <v>111513.08699596798</v>
      </c>
      <c r="E68" s="152">
        <f t="shared" ref="E68:K68" si="4">SUM(((E67*2%)+E67),((E67*2%)+E67)*0.2%)</f>
        <v>116754.20208477847</v>
      </c>
      <c r="F68" s="152">
        <f t="shared" si="4"/>
        <v>122241.6495827631</v>
      </c>
      <c r="G68" s="152">
        <f t="shared" si="4"/>
        <v>127987.00711315297</v>
      </c>
      <c r="H68" s="152">
        <f t="shared" si="4"/>
        <v>134002.39644747114</v>
      </c>
      <c r="I68" s="152">
        <f t="shared" si="4"/>
        <v>140300.50908050229</v>
      </c>
      <c r="J68" s="152">
        <f t="shared" si="4"/>
        <v>146894.63300728594</v>
      </c>
      <c r="K68" s="152">
        <f t="shared" si="4"/>
        <v>153798.68075862832</v>
      </c>
      <c r="L68" s="119" t="str">
        <f>""</f>
        <v/>
      </c>
      <c r="M68" s="119" t="str">
        <f>""</f>
        <v/>
      </c>
      <c r="N68" s="119" t="str">
        <f>""</f>
        <v/>
      </c>
      <c r="O68" s="178"/>
      <c r="P68" s="178"/>
      <c r="Q68" s="178"/>
      <c r="R68" s="278"/>
      <c r="S68" s="178"/>
      <c r="T68" s="280"/>
      <c r="U68" s="178"/>
      <c r="V68" s="178"/>
      <c r="W68" s="157"/>
      <c r="X68" s="157"/>
      <c r="Y68" s="157"/>
      <c r="Z68" s="157"/>
      <c r="AA68" s="157"/>
    </row>
    <row r="69" spans="1:27" x14ac:dyDescent="0.25">
      <c r="A69" s="121"/>
      <c r="B69" s="162"/>
      <c r="C69" s="151"/>
      <c r="D69" s="152"/>
      <c r="E69" s="152"/>
      <c r="F69" s="152"/>
      <c r="G69" s="152"/>
      <c r="H69" s="152"/>
      <c r="I69" s="152"/>
      <c r="J69" s="152"/>
      <c r="K69" s="152"/>
      <c r="L69" s="119" t="str">
        <f>""</f>
        <v/>
      </c>
      <c r="M69" s="119" t="str">
        <f>""</f>
        <v/>
      </c>
      <c r="N69" s="119" t="str">
        <f>""</f>
        <v/>
      </c>
      <c r="O69" s="178"/>
      <c r="P69" s="157"/>
      <c r="Q69" s="157"/>
      <c r="R69" s="157"/>
      <c r="S69" s="157"/>
      <c r="T69" s="157"/>
      <c r="U69" s="157"/>
      <c r="V69" s="157"/>
      <c r="W69" s="157"/>
      <c r="X69" s="157"/>
      <c r="Y69" s="157"/>
      <c r="Z69" s="157"/>
      <c r="AA69" s="157"/>
    </row>
    <row r="70" spans="1:27" x14ac:dyDescent="0.25">
      <c r="A70" s="121"/>
      <c r="B70" s="162"/>
      <c r="C70" s="151" t="s">
        <v>26</v>
      </c>
      <c r="D70" s="152">
        <f>SUM(((D68*1.5%)+D68))</f>
        <v>113185.7833009075</v>
      </c>
      <c r="E70" s="152">
        <f t="shared" ref="E70:K70" si="5">SUM(((E68*1.5%)+E68))</f>
        <v>118505.51511605016</v>
      </c>
      <c r="F70" s="152">
        <f t="shared" si="5"/>
        <v>124075.27432650454</v>
      </c>
      <c r="G70" s="152">
        <f t="shared" si="5"/>
        <v>129906.81221985027</v>
      </c>
      <c r="H70" s="152">
        <f t="shared" si="5"/>
        <v>136012.43239418321</v>
      </c>
      <c r="I70" s="152">
        <f t="shared" si="5"/>
        <v>142405.01671670983</v>
      </c>
      <c r="J70" s="152">
        <f t="shared" si="5"/>
        <v>149098.05250239524</v>
      </c>
      <c r="K70" s="152">
        <f t="shared" si="5"/>
        <v>156105.66097000774</v>
      </c>
      <c r="L70" s="119" t="str">
        <f>""</f>
        <v/>
      </c>
      <c r="M70" s="119" t="str">
        <f>""</f>
        <v/>
      </c>
      <c r="N70" s="119" t="str">
        <f>""</f>
        <v/>
      </c>
      <c r="O70" s="178"/>
      <c r="P70" s="395"/>
      <c r="Q70" s="395"/>
      <c r="R70" s="395"/>
      <c r="S70" s="395"/>
      <c r="T70" s="395"/>
      <c r="U70" s="395"/>
      <c r="V70" s="157"/>
      <c r="W70" s="157"/>
      <c r="X70" s="157"/>
      <c r="Y70" s="157"/>
      <c r="Z70" s="157"/>
      <c r="AA70" s="157"/>
    </row>
    <row r="71" spans="1:27" x14ac:dyDescent="0.25">
      <c r="A71" s="121"/>
      <c r="B71" s="162"/>
      <c r="C71" s="151" t="s">
        <v>27</v>
      </c>
      <c r="D71" s="152">
        <f>SUM(((D70*1.5%)+D70))</f>
        <v>114883.57005042111</v>
      </c>
      <c r="E71" s="152">
        <f t="shared" ref="E71:K71" si="6">SUM(((E70*1.5%)+E70))</f>
        <v>120283.09784279091</v>
      </c>
      <c r="F71" s="152">
        <f t="shared" si="6"/>
        <v>125936.40344140212</v>
      </c>
      <c r="G71" s="152">
        <f t="shared" si="6"/>
        <v>131855.41440314802</v>
      </c>
      <c r="H71" s="152">
        <f t="shared" si="6"/>
        <v>138052.61888009595</v>
      </c>
      <c r="I71" s="152">
        <f t="shared" si="6"/>
        <v>144541.09196746047</v>
      </c>
      <c r="J71" s="152">
        <f t="shared" si="6"/>
        <v>151334.52328993115</v>
      </c>
      <c r="K71" s="152">
        <f t="shared" si="6"/>
        <v>158447.24588455787</v>
      </c>
      <c r="L71" s="119" t="str">
        <f>""</f>
        <v/>
      </c>
      <c r="M71" s="119" t="str">
        <f>""</f>
        <v/>
      </c>
      <c r="N71" s="119" t="str">
        <f>""</f>
        <v/>
      </c>
      <c r="O71" s="178"/>
      <c r="P71" s="157"/>
      <c r="Q71" s="157"/>
      <c r="R71" s="157"/>
      <c r="S71" s="157"/>
      <c r="T71" s="157"/>
      <c r="U71" s="157"/>
      <c r="V71" s="157"/>
      <c r="W71" s="157"/>
      <c r="X71" s="157"/>
      <c r="Y71" s="157"/>
      <c r="Z71" s="157"/>
      <c r="AA71" s="157"/>
    </row>
    <row r="72" spans="1:27" x14ac:dyDescent="0.25">
      <c r="A72" s="121"/>
      <c r="B72" s="162"/>
      <c r="C72" s="157"/>
      <c r="D72" s="157"/>
      <c r="E72" s="157"/>
      <c r="F72" s="157"/>
      <c r="G72" s="157"/>
      <c r="H72" s="157"/>
      <c r="I72" s="157"/>
      <c r="J72" s="157"/>
      <c r="K72" s="157"/>
      <c r="L72" s="119"/>
      <c r="M72" s="119"/>
      <c r="N72" s="119"/>
      <c r="O72" s="178"/>
      <c r="P72" s="164"/>
      <c r="Q72" s="157"/>
      <c r="R72" s="164"/>
      <c r="S72" s="126"/>
      <c r="T72" s="165"/>
      <c r="U72" s="166"/>
      <c r="V72" s="157"/>
      <c r="W72" s="166"/>
      <c r="X72" s="157"/>
      <c r="Y72" s="157"/>
      <c r="Z72" s="157"/>
      <c r="AA72" s="157"/>
    </row>
    <row r="73" spans="1:27" x14ac:dyDescent="0.25">
      <c r="A73" s="121"/>
      <c r="B73" s="119"/>
      <c r="C73" s="119"/>
      <c r="D73" s="119"/>
      <c r="E73" s="119"/>
      <c r="F73" s="119"/>
      <c r="G73" s="119"/>
      <c r="H73" s="119"/>
      <c r="I73" s="119"/>
      <c r="J73" s="119"/>
      <c r="K73" s="119"/>
      <c r="L73" s="119"/>
      <c r="M73" s="119"/>
      <c r="N73" s="157"/>
      <c r="O73" s="157"/>
      <c r="P73" s="167"/>
      <c r="Q73" s="157"/>
      <c r="R73" s="167"/>
      <c r="S73" s="168"/>
      <c r="T73" s="165"/>
      <c r="U73" s="166"/>
      <c r="V73" s="157"/>
      <c r="W73" s="166"/>
      <c r="X73" s="157"/>
      <c r="Y73" s="157"/>
      <c r="Z73" s="157"/>
      <c r="AA73" s="157"/>
    </row>
    <row r="74" spans="1:27" x14ac:dyDescent="0.25">
      <c r="A74" s="121"/>
      <c r="B74" s="151" t="s">
        <v>3</v>
      </c>
      <c r="C74" s="160"/>
      <c r="D74" s="160"/>
      <c r="E74" s="160"/>
      <c r="F74" s="160"/>
      <c r="G74" s="160"/>
      <c r="H74" s="160"/>
      <c r="I74" s="160"/>
      <c r="J74" s="160"/>
      <c r="K74" s="160"/>
      <c r="L74" s="119"/>
      <c r="M74" s="161"/>
      <c r="N74" s="161"/>
      <c r="O74" s="161"/>
      <c r="P74" s="164"/>
      <c r="Q74" s="157"/>
      <c r="R74" s="169"/>
      <c r="S74" s="168"/>
      <c r="T74" s="168"/>
      <c r="U74" s="166"/>
      <c r="V74" s="157"/>
      <c r="W74" s="166"/>
      <c r="X74" s="157"/>
      <c r="Y74" s="157"/>
      <c r="Z74" s="157"/>
      <c r="AA74" s="157"/>
    </row>
    <row r="75" spans="1:27" x14ac:dyDescent="0.25">
      <c r="A75" s="121"/>
      <c r="B75" s="160"/>
      <c r="C75" s="160"/>
      <c r="D75" s="153">
        <v>1</v>
      </c>
      <c r="E75" s="153">
        <v>2</v>
      </c>
      <c r="F75" s="153">
        <v>3</v>
      </c>
      <c r="G75" s="153">
        <v>4</v>
      </c>
      <c r="H75" s="153">
        <v>5</v>
      </c>
      <c r="I75" s="153">
        <v>6</v>
      </c>
      <c r="J75" s="153">
        <v>7</v>
      </c>
      <c r="K75" s="153">
        <v>8</v>
      </c>
      <c r="L75" s="119">
        <v>9</v>
      </c>
      <c r="M75" s="170">
        <v>10</v>
      </c>
      <c r="N75" s="170">
        <v>11</v>
      </c>
      <c r="O75" s="271"/>
      <c r="P75" s="171"/>
      <c r="Q75" s="157"/>
      <c r="R75" s="172"/>
      <c r="S75" s="173"/>
      <c r="T75" s="173"/>
      <c r="U75" s="166"/>
      <c r="V75" s="157"/>
      <c r="W75" s="166"/>
      <c r="X75" s="157"/>
      <c r="Y75" s="157"/>
      <c r="Z75" s="157"/>
      <c r="AA75" s="157"/>
    </row>
    <row r="76" spans="1:27" x14ac:dyDescent="0.25">
      <c r="A76" s="121"/>
      <c r="B76" s="162" t="s">
        <v>0</v>
      </c>
      <c r="C76" s="151" t="s">
        <v>1</v>
      </c>
      <c r="D76" s="163">
        <v>106446</v>
      </c>
      <c r="E76" s="163">
        <v>111448</v>
      </c>
      <c r="F76" s="163">
        <v>116687</v>
      </c>
      <c r="G76" s="163">
        <v>122172</v>
      </c>
      <c r="H76" s="163">
        <v>127913</v>
      </c>
      <c r="I76" s="163">
        <v>133925</v>
      </c>
      <c r="J76" s="163">
        <v>140220</v>
      </c>
      <c r="K76" s="174">
        <v>146809</v>
      </c>
      <c r="L76" s="126">
        <v>153711</v>
      </c>
      <c r="M76" s="175">
        <v>160934</v>
      </c>
      <c r="N76" s="281">
        <v>168498</v>
      </c>
      <c r="O76" s="282"/>
      <c r="P76" s="164"/>
      <c r="Q76" s="157"/>
      <c r="R76" s="176"/>
      <c r="S76" s="177"/>
      <c r="T76" s="177"/>
      <c r="U76" s="166"/>
      <c r="V76" s="157"/>
      <c r="W76" s="166"/>
      <c r="X76" s="157"/>
      <c r="Y76" s="157"/>
      <c r="Z76" s="157"/>
      <c r="AA76" s="157"/>
    </row>
    <row r="77" spans="1:27" x14ac:dyDescent="0.25">
      <c r="A77" s="121"/>
      <c r="B77" s="162"/>
      <c r="C77" s="151" t="s">
        <v>23</v>
      </c>
      <c r="D77" s="152">
        <f>SUM(((D76*2%)+D76),((D76*2%)+D76)*0.8%)</f>
        <v>109443.51935999999</v>
      </c>
      <c r="E77" s="152">
        <f t="shared" ref="E77:N77" si="7">SUM(((E76*2%)+E76),((E76*2%)+E76)*0.8%)</f>
        <v>114586.37568000001</v>
      </c>
      <c r="F77" s="152">
        <f t="shared" si="7"/>
        <v>119972.90592</v>
      </c>
      <c r="G77" s="152">
        <f t="shared" si="7"/>
        <v>125612.36352</v>
      </c>
      <c r="H77" s="152">
        <f t="shared" si="7"/>
        <v>131515.03008</v>
      </c>
      <c r="I77" s="152">
        <f t="shared" si="7"/>
        <v>137696.32800000001</v>
      </c>
      <c r="J77" s="152">
        <f t="shared" si="7"/>
        <v>144168.59519999998</v>
      </c>
      <c r="K77" s="152">
        <f t="shared" si="7"/>
        <v>150943.14144000001</v>
      </c>
      <c r="L77" s="152">
        <f t="shared" si="7"/>
        <v>158039.50176000001</v>
      </c>
      <c r="M77" s="152">
        <f t="shared" si="7"/>
        <v>165465.90143999999</v>
      </c>
      <c r="N77" s="152">
        <f t="shared" si="7"/>
        <v>173242.90367999999</v>
      </c>
      <c r="O77" s="178"/>
      <c r="P77" s="178"/>
      <c r="Q77" s="178"/>
      <c r="R77" s="179"/>
      <c r="S77" s="177"/>
      <c r="T77" s="177"/>
      <c r="U77" s="166"/>
      <c r="V77" s="157"/>
      <c r="W77" s="180"/>
      <c r="X77" s="157"/>
      <c r="Y77" s="157"/>
      <c r="Z77" s="157"/>
      <c r="AA77" s="157"/>
    </row>
    <row r="78" spans="1:27" x14ac:dyDescent="0.25">
      <c r="A78" s="121"/>
      <c r="B78" s="162"/>
      <c r="C78" s="151" t="s">
        <v>24</v>
      </c>
      <c r="D78" s="152">
        <f>SUM(((D77*2%)+D77),((D77*2%)+D77)*0.2%)</f>
        <v>111855.6545266944</v>
      </c>
      <c r="E78" s="152">
        <f t="shared" ref="E78:M78" si="8">SUM(((E77*2%)+E77),((E77*2%)+E77)*0.2%)</f>
        <v>117111.85939998721</v>
      </c>
      <c r="F78" s="152">
        <f t="shared" si="8"/>
        <v>122617.1087664768</v>
      </c>
      <c r="G78" s="152">
        <f t="shared" si="8"/>
        <v>128380.8600119808</v>
      </c>
      <c r="H78" s="152">
        <f t="shared" si="8"/>
        <v>134413.62134296319</v>
      </c>
      <c r="I78" s="152">
        <f t="shared" si="8"/>
        <v>140731.15506912</v>
      </c>
      <c r="J78" s="152">
        <f t="shared" si="8"/>
        <v>147346.07103820797</v>
      </c>
      <c r="K78" s="152">
        <f t="shared" si="8"/>
        <v>154269.9282773376</v>
      </c>
      <c r="L78" s="152">
        <f t="shared" si="8"/>
        <v>161522.69237879044</v>
      </c>
      <c r="M78" s="152">
        <f t="shared" si="8"/>
        <v>169112.76990773756</v>
      </c>
      <c r="N78" s="152">
        <f>SUM(((N77*2%)+N77),((N77*2%)+N77)*0.2%)</f>
        <v>177061.17727710717</v>
      </c>
      <c r="O78" s="178"/>
      <c r="P78" s="178"/>
      <c r="Q78" s="178"/>
      <c r="R78" s="178"/>
      <c r="S78" s="178"/>
      <c r="T78" s="178"/>
      <c r="U78" s="178"/>
      <c r="V78" s="178"/>
      <c r="W78" s="178"/>
      <c r="X78" s="157"/>
      <c r="Y78" s="157"/>
      <c r="Z78" s="157"/>
      <c r="AA78" s="157"/>
    </row>
    <row r="79" spans="1:27" x14ac:dyDescent="0.25">
      <c r="A79" s="121"/>
      <c r="B79" s="162"/>
      <c r="C79" s="151"/>
      <c r="D79" s="152"/>
      <c r="E79" s="152"/>
      <c r="F79" s="152"/>
      <c r="G79" s="152"/>
      <c r="H79" s="152"/>
      <c r="I79" s="152"/>
      <c r="J79" s="152"/>
      <c r="K79" s="152"/>
      <c r="L79" s="152"/>
      <c r="M79" s="152"/>
      <c r="N79" s="152"/>
      <c r="O79" s="178"/>
      <c r="P79" s="178"/>
      <c r="Q79" s="178"/>
      <c r="R79" s="178"/>
      <c r="S79" s="178"/>
      <c r="T79" s="178"/>
      <c r="U79" s="178"/>
      <c r="V79" s="178"/>
      <c r="W79" s="178"/>
      <c r="X79" s="157"/>
      <c r="Y79" s="157"/>
      <c r="Z79" s="157"/>
      <c r="AA79" s="157"/>
    </row>
    <row r="80" spans="1:27" x14ac:dyDescent="0.25">
      <c r="A80" s="121"/>
      <c r="B80" s="162"/>
      <c r="C80" s="151" t="s">
        <v>26</v>
      </c>
      <c r="D80" s="152">
        <f>SUM(((D78*1.5%)+D78))</f>
        <v>113533.48934459481</v>
      </c>
      <c r="E80" s="152">
        <f t="shared" ref="E80:N80" si="9">SUM(((E78*1.5%)+E78))</f>
        <v>118868.53729098702</v>
      </c>
      <c r="F80" s="152">
        <f t="shared" si="9"/>
        <v>124456.36539797395</v>
      </c>
      <c r="G80" s="152">
        <f t="shared" si="9"/>
        <v>130306.57291216051</v>
      </c>
      <c r="H80" s="152">
        <f t="shared" si="9"/>
        <v>136429.82566310765</v>
      </c>
      <c r="I80" s="152">
        <f t="shared" si="9"/>
        <v>142842.1223951568</v>
      </c>
      <c r="J80" s="152">
        <f t="shared" si="9"/>
        <v>149556.2621037811</v>
      </c>
      <c r="K80" s="152">
        <f t="shared" si="9"/>
        <v>156583.97720149768</v>
      </c>
      <c r="L80" s="152">
        <f t="shared" si="9"/>
        <v>163945.5327644723</v>
      </c>
      <c r="M80" s="152">
        <f t="shared" si="9"/>
        <v>171649.46145635363</v>
      </c>
      <c r="N80" s="152">
        <f t="shared" si="9"/>
        <v>179717.09493626378</v>
      </c>
      <c r="O80" s="178"/>
      <c r="P80" s="178"/>
      <c r="Q80" s="178"/>
      <c r="R80" s="178"/>
      <c r="S80" s="178"/>
      <c r="T80" s="178"/>
      <c r="U80" s="178"/>
      <c r="V80" s="178"/>
      <c r="W80" s="178"/>
      <c r="X80" s="157"/>
      <c r="Y80" s="157"/>
      <c r="Z80" s="157"/>
      <c r="AA80" s="157"/>
    </row>
    <row r="81" spans="1:27" x14ac:dyDescent="0.25">
      <c r="A81" s="121"/>
      <c r="B81" s="162"/>
      <c r="C81" s="151" t="s">
        <v>27</v>
      </c>
      <c r="D81" s="152">
        <f>SUM(((D80*1.5%)+D80))</f>
        <v>115236.49168476374</v>
      </c>
      <c r="E81" s="152">
        <f t="shared" ref="E81:N81" si="10">SUM(((E80*1.5%)+E80))</f>
        <v>120651.56535035183</v>
      </c>
      <c r="F81" s="152">
        <f t="shared" si="10"/>
        <v>126323.21087894356</v>
      </c>
      <c r="G81" s="152">
        <f t="shared" si="10"/>
        <v>132261.17150584291</v>
      </c>
      <c r="H81" s="152">
        <f t="shared" si="10"/>
        <v>138476.27304805425</v>
      </c>
      <c r="I81" s="152">
        <f t="shared" si="10"/>
        <v>144984.75423108414</v>
      </c>
      <c r="J81" s="152">
        <f t="shared" si="10"/>
        <v>151799.60603533781</v>
      </c>
      <c r="K81" s="152">
        <f t="shared" si="10"/>
        <v>158932.73685952014</v>
      </c>
      <c r="L81" s="152">
        <f t="shared" si="10"/>
        <v>166404.7157559394</v>
      </c>
      <c r="M81" s="152">
        <f t="shared" si="10"/>
        <v>174224.20337819893</v>
      </c>
      <c r="N81" s="152">
        <f t="shared" si="10"/>
        <v>182412.85136030774</v>
      </c>
      <c r="O81" s="178"/>
      <c r="P81" s="178"/>
      <c r="Q81" s="178"/>
      <c r="R81" s="178"/>
      <c r="S81" s="178"/>
      <c r="T81" s="178"/>
      <c r="U81" s="178"/>
      <c r="V81" s="178"/>
      <c r="W81" s="178"/>
      <c r="X81" s="157"/>
      <c r="Y81" s="157"/>
      <c r="Z81" s="157"/>
      <c r="AA81" s="157"/>
    </row>
    <row r="82" spans="1:27" x14ac:dyDescent="0.25">
      <c r="A82" s="121"/>
      <c r="B82" s="162"/>
      <c r="C82" s="151"/>
      <c r="D82" s="152"/>
      <c r="E82" s="152"/>
      <c r="F82" s="152"/>
      <c r="G82" s="152"/>
      <c r="H82" s="152"/>
      <c r="I82" s="152"/>
      <c r="J82" s="152"/>
      <c r="K82" s="152"/>
      <c r="L82" s="152"/>
      <c r="M82" s="152"/>
      <c r="N82" s="152"/>
      <c r="O82" s="178"/>
      <c r="P82" s="178"/>
      <c r="Q82" s="178"/>
      <c r="R82" s="178"/>
      <c r="S82" s="178"/>
      <c r="T82" s="178"/>
      <c r="U82" s="178"/>
      <c r="V82" s="178"/>
      <c r="W82" s="178"/>
      <c r="X82" s="157"/>
      <c r="Y82" s="157"/>
      <c r="Z82" s="157"/>
      <c r="AA82" s="157"/>
    </row>
    <row r="83" spans="1:27" ht="15" x14ac:dyDescent="0.25">
      <c r="A83" s="71"/>
      <c r="B83" s="116" t="s">
        <v>125</v>
      </c>
      <c r="C83" s="107"/>
      <c r="D83" s="106" t="s">
        <v>29</v>
      </c>
      <c r="E83" s="107"/>
      <c r="F83" s="107"/>
      <c r="G83" s="107"/>
      <c r="H83" s="107"/>
      <c r="I83" s="107"/>
      <c r="J83" s="71"/>
      <c r="K83" s="71"/>
      <c r="L83" s="152"/>
      <c r="M83" s="152"/>
      <c r="N83" s="152"/>
      <c r="O83" s="178"/>
      <c r="P83" s="178"/>
      <c r="Q83" s="178"/>
      <c r="R83" s="178"/>
      <c r="S83" s="178"/>
      <c r="T83" s="178"/>
      <c r="U83" s="178"/>
      <c r="V83" s="178"/>
      <c r="W83" s="178"/>
      <c r="X83" s="157"/>
      <c r="Y83" s="157"/>
      <c r="Z83" s="157"/>
      <c r="AA83" s="157"/>
    </row>
    <row r="84" spans="1:27" ht="15" x14ac:dyDescent="0.25">
      <c r="A84" s="71"/>
      <c r="B84" s="107"/>
      <c r="C84" s="107"/>
      <c r="D84" s="109">
        <v>1</v>
      </c>
      <c r="E84" s="109">
        <v>2</v>
      </c>
      <c r="F84" s="109">
        <v>3</v>
      </c>
      <c r="G84" s="109">
        <v>4</v>
      </c>
      <c r="H84" s="109">
        <v>5</v>
      </c>
      <c r="I84" s="109">
        <v>6</v>
      </c>
      <c r="J84" s="71" t="s">
        <v>81</v>
      </c>
      <c r="K84" s="71" t="s">
        <v>81</v>
      </c>
      <c r="L84" s="71" t="s">
        <v>81</v>
      </c>
      <c r="M84" s="71" t="s">
        <v>81</v>
      </c>
      <c r="N84" s="71" t="s">
        <v>81</v>
      </c>
      <c r="O84" s="178"/>
      <c r="P84" s="178"/>
      <c r="Q84" s="178"/>
      <c r="R84" s="178"/>
      <c r="S84" s="178"/>
      <c r="T84" s="178"/>
      <c r="U84" s="178"/>
      <c r="V84" s="178"/>
      <c r="W84" s="178"/>
      <c r="X84" s="157"/>
      <c r="Y84" s="157"/>
      <c r="Z84" s="157"/>
      <c r="AA84" s="157"/>
    </row>
    <row r="85" spans="1:27" ht="15" x14ac:dyDescent="0.25">
      <c r="A85" s="71"/>
      <c r="B85" s="110" t="s">
        <v>0</v>
      </c>
      <c r="C85" s="106" t="s">
        <v>1</v>
      </c>
      <c r="D85" s="116">
        <v>128601</v>
      </c>
      <c r="E85" s="116">
        <v>134645</v>
      </c>
      <c r="F85" s="116">
        <v>140974</v>
      </c>
      <c r="G85" s="116">
        <v>147600</v>
      </c>
      <c r="H85" s="116">
        <v>154538</v>
      </c>
      <c r="I85" s="116">
        <v>161801</v>
      </c>
      <c r="J85" s="181" t="s">
        <v>80</v>
      </c>
      <c r="K85" s="181" t="s">
        <v>80</v>
      </c>
      <c r="L85" s="152" t="s">
        <v>81</v>
      </c>
      <c r="M85" s="152" t="s">
        <v>81</v>
      </c>
      <c r="N85" s="152" t="s">
        <v>81</v>
      </c>
      <c r="O85" s="178"/>
      <c r="P85" s="178"/>
      <c r="Q85" s="178"/>
      <c r="R85" s="178"/>
      <c r="S85" s="178"/>
      <c r="T85" s="178"/>
      <c r="U85" s="178"/>
      <c r="V85" s="178"/>
      <c r="W85" s="178"/>
      <c r="X85" s="157"/>
      <c r="Y85" s="157"/>
      <c r="Z85" s="157"/>
      <c r="AA85" s="157"/>
    </row>
    <row r="86" spans="1:27" ht="15" x14ac:dyDescent="0.25">
      <c r="A86" s="71"/>
      <c r="B86" s="110"/>
      <c r="C86" s="106" t="s">
        <v>23</v>
      </c>
      <c r="D86" s="111">
        <f>SUM(((D85*2%)+D85),((D85*2%)+D85)*0.8%)</f>
        <v>132222.40415999998</v>
      </c>
      <c r="E86" s="111">
        <f t="shared" ref="E86:I86" si="11">SUM(((E85*2%)+E85),((E85*2%)+E85)*0.8%)</f>
        <v>138436.60319999998</v>
      </c>
      <c r="F86" s="111">
        <f t="shared" si="11"/>
        <v>144943.82784000001</v>
      </c>
      <c r="G86" s="111">
        <f t="shared" si="11"/>
        <v>151756.416</v>
      </c>
      <c r="H86" s="111">
        <f t="shared" si="11"/>
        <v>158889.79008000001</v>
      </c>
      <c r="I86" s="111">
        <f t="shared" si="11"/>
        <v>166357.31615999999</v>
      </c>
      <c r="J86" s="111" t="s">
        <v>80</v>
      </c>
      <c r="K86" s="111" t="s">
        <v>80</v>
      </c>
      <c r="L86" s="152" t="s">
        <v>81</v>
      </c>
      <c r="M86" s="152" t="s">
        <v>81</v>
      </c>
      <c r="N86" s="152" t="s">
        <v>81</v>
      </c>
      <c r="O86" s="178"/>
      <c r="P86" s="178"/>
      <c r="Q86" s="178"/>
      <c r="R86" s="178"/>
      <c r="S86" s="178"/>
      <c r="T86" s="178"/>
      <c r="U86" s="178"/>
      <c r="V86" s="178"/>
      <c r="W86" s="178"/>
      <c r="X86" s="157"/>
      <c r="Y86" s="157"/>
      <c r="Z86" s="157"/>
      <c r="AA86" s="157"/>
    </row>
    <row r="87" spans="1:27" ht="15" x14ac:dyDescent="0.25">
      <c r="A87" s="71"/>
      <c r="B87" s="110"/>
      <c r="C87" s="106" t="s">
        <v>24</v>
      </c>
      <c r="D87" s="111">
        <f>SUM(((D86*2%)+D86),((D86*2%)+D86)*0.2%)</f>
        <v>135136.58594768637</v>
      </c>
      <c r="E87" s="111">
        <f t="shared" ref="E87:I87" si="12">SUM(((E86*2%)+E86),((E86*2%)+E86)*0.2%)</f>
        <v>141487.74593452801</v>
      </c>
      <c r="F87" s="111">
        <f t="shared" si="12"/>
        <v>148138.38980559362</v>
      </c>
      <c r="G87" s="111">
        <f t="shared" si="12"/>
        <v>155101.12740863999</v>
      </c>
      <c r="H87" s="111">
        <f t="shared" si="12"/>
        <v>162391.7210533632</v>
      </c>
      <c r="I87" s="111">
        <f t="shared" si="12"/>
        <v>170023.83140816638</v>
      </c>
      <c r="J87" s="111" t="s">
        <v>80</v>
      </c>
      <c r="K87" s="111" t="s">
        <v>80</v>
      </c>
      <c r="L87" s="152" t="s">
        <v>81</v>
      </c>
      <c r="M87" s="152" t="s">
        <v>81</v>
      </c>
      <c r="N87" s="152" t="s">
        <v>81</v>
      </c>
      <c r="O87" s="178"/>
      <c r="P87" s="178"/>
      <c r="Q87" s="178"/>
      <c r="R87" s="178"/>
      <c r="S87" s="178"/>
      <c r="T87" s="178"/>
      <c r="U87" s="178"/>
      <c r="V87" s="178"/>
      <c r="W87" s="178"/>
      <c r="X87" s="157"/>
      <c r="Y87" s="157"/>
      <c r="Z87" s="157"/>
      <c r="AA87" s="157"/>
    </row>
    <row r="88" spans="1:27" ht="15" x14ac:dyDescent="0.25">
      <c r="A88" s="71"/>
      <c r="B88" s="110"/>
      <c r="C88" s="106"/>
      <c r="D88" s="111"/>
      <c r="E88" s="111"/>
      <c r="F88" s="111"/>
      <c r="G88" s="111"/>
      <c r="H88" s="111"/>
      <c r="I88" s="111"/>
      <c r="J88" s="111"/>
      <c r="K88" s="111"/>
      <c r="L88" s="152" t="s">
        <v>81</v>
      </c>
      <c r="M88" s="152" t="s">
        <v>81</v>
      </c>
      <c r="N88" s="152" t="s">
        <v>81</v>
      </c>
      <c r="O88" s="178"/>
      <c r="P88" s="178"/>
      <c r="Q88" s="178"/>
      <c r="R88" s="178"/>
      <c r="S88" s="178"/>
      <c r="T88" s="178"/>
      <c r="U88" s="178"/>
      <c r="V88" s="178"/>
      <c r="W88" s="178"/>
      <c r="X88" s="157"/>
      <c r="Y88" s="157"/>
      <c r="Z88" s="157"/>
      <c r="AA88" s="157"/>
    </row>
    <row r="89" spans="1:27" ht="15" x14ac:dyDescent="0.25">
      <c r="A89" s="71"/>
      <c r="B89" s="110"/>
      <c r="C89" s="106" t="s">
        <v>26</v>
      </c>
      <c r="D89" s="111">
        <f>SUM(((D87*1.5%)+D87))</f>
        <v>137163.63473690167</v>
      </c>
      <c r="E89" s="111">
        <f t="shared" ref="E89:I89" si="13">SUM(((E87*1.5%)+E87))</f>
        <v>143610.06212354594</v>
      </c>
      <c r="F89" s="111">
        <f t="shared" si="13"/>
        <v>150360.46565267752</v>
      </c>
      <c r="G89" s="111">
        <f t="shared" si="13"/>
        <v>157427.64431976961</v>
      </c>
      <c r="H89" s="111">
        <f t="shared" si="13"/>
        <v>164827.59686916365</v>
      </c>
      <c r="I89" s="111">
        <f t="shared" si="13"/>
        <v>172574.18887928888</v>
      </c>
      <c r="J89" s="111" t="s">
        <v>80</v>
      </c>
      <c r="K89" s="111" t="s">
        <v>80</v>
      </c>
      <c r="L89" s="152" t="s">
        <v>81</v>
      </c>
      <c r="M89" s="152" t="s">
        <v>81</v>
      </c>
      <c r="N89" s="152" t="s">
        <v>81</v>
      </c>
      <c r="O89" s="178"/>
      <c r="P89" s="178"/>
      <c r="Q89" s="178"/>
      <c r="R89" s="178"/>
      <c r="S89" s="178"/>
      <c r="T89" s="178"/>
      <c r="U89" s="178"/>
      <c r="V89" s="178"/>
      <c r="W89" s="178"/>
      <c r="X89" s="157"/>
      <c r="Y89" s="157"/>
      <c r="Z89" s="157"/>
      <c r="AA89" s="157"/>
    </row>
    <row r="90" spans="1:27" ht="15" x14ac:dyDescent="0.25">
      <c r="A90" s="71"/>
      <c r="B90" s="110"/>
      <c r="C90" s="106" t="s">
        <v>27</v>
      </c>
      <c r="D90" s="111">
        <f>SUM(((D89*1.5%)+D89))</f>
        <v>139221.0892579552</v>
      </c>
      <c r="E90" s="111">
        <f t="shared" ref="E90:I90" si="14">SUM(((E89*1.5%)+E89))</f>
        <v>145764.21305539913</v>
      </c>
      <c r="F90" s="111">
        <f t="shared" si="14"/>
        <v>152615.87263746769</v>
      </c>
      <c r="G90" s="111">
        <f t="shared" si="14"/>
        <v>159789.05898456616</v>
      </c>
      <c r="H90" s="111">
        <f t="shared" si="14"/>
        <v>167300.01082220112</v>
      </c>
      <c r="I90" s="111">
        <f t="shared" si="14"/>
        <v>175162.80171247822</v>
      </c>
      <c r="J90" s="111" t="s">
        <v>80</v>
      </c>
      <c r="K90" s="111" t="s">
        <v>80</v>
      </c>
      <c r="L90" s="152" t="s">
        <v>81</v>
      </c>
      <c r="M90" s="152" t="s">
        <v>81</v>
      </c>
      <c r="N90" s="152" t="s">
        <v>81</v>
      </c>
      <c r="O90" s="178"/>
      <c r="P90" s="178"/>
      <c r="Q90" s="178"/>
      <c r="R90" s="178"/>
      <c r="S90" s="178"/>
      <c r="T90" s="178"/>
      <c r="U90" s="178"/>
      <c r="V90" s="178"/>
      <c r="W90" s="178"/>
      <c r="X90" s="157"/>
      <c r="Y90" s="157"/>
      <c r="Z90" s="157"/>
      <c r="AA90" s="157"/>
    </row>
    <row r="91" spans="1:27" ht="15" x14ac:dyDescent="0.25">
      <c r="A91" s="71"/>
      <c r="B91" s="110"/>
      <c r="C91" s="116"/>
      <c r="D91" s="116"/>
      <c r="E91" s="116"/>
      <c r="F91" s="116"/>
      <c r="G91" s="116"/>
      <c r="H91" s="116"/>
      <c r="I91" s="116"/>
      <c r="J91" s="116"/>
      <c r="K91" s="116"/>
      <c r="L91" s="152"/>
      <c r="M91" s="152"/>
      <c r="N91" s="152"/>
      <c r="O91" s="178"/>
      <c r="P91" s="178"/>
      <c r="Q91" s="178"/>
      <c r="R91" s="178"/>
      <c r="S91" s="178"/>
      <c r="T91" s="178"/>
      <c r="U91" s="178"/>
      <c r="V91" s="178"/>
      <c r="W91" s="178"/>
      <c r="X91" s="157"/>
      <c r="Y91" s="157"/>
      <c r="Z91" s="157"/>
      <c r="AA91" s="157"/>
    </row>
    <row r="92" spans="1:27" ht="15" x14ac:dyDescent="0.25">
      <c r="A92" s="71"/>
      <c r="B92" s="71"/>
      <c r="C92" s="71"/>
      <c r="D92" s="71"/>
      <c r="E92" s="71"/>
      <c r="F92" s="71"/>
      <c r="G92" s="71"/>
      <c r="H92" s="71"/>
      <c r="I92" s="71"/>
      <c r="J92" s="71"/>
      <c r="K92" s="71"/>
      <c r="L92" s="152"/>
      <c r="M92" s="152"/>
      <c r="N92" s="152"/>
      <c r="O92" s="178"/>
      <c r="P92" s="178"/>
      <c r="Q92" s="178"/>
      <c r="R92" s="178"/>
      <c r="S92" s="178"/>
      <c r="T92" s="178"/>
      <c r="U92" s="178"/>
      <c r="V92" s="178"/>
      <c r="W92" s="178"/>
      <c r="X92" s="157"/>
      <c r="Y92" s="157"/>
      <c r="Z92" s="157"/>
      <c r="AA92" s="157"/>
    </row>
    <row r="93" spans="1:27" ht="15" x14ac:dyDescent="0.25">
      <c r="A93" s="71"/>
      <c r="B93" s="116" t="s">
        <v>79</v>
      </c>
      <c r="C93" s="107"/>
      <c r="D93" s="107"/>
      <c r="E93" s="107"/>
      <c r="F93" s="107"/>
      <c r="G93" s="107"/>
      <c r="H93" s="107"/>
      <c r="I93" s="107"/>
      <c r="J93" s="107"/>
      <c r="K93" s="107"/>
      <c r="L93" s="152"/>
      <c r="M93" s="152"/>
      <c r="N93" s="152"/>
      <c r="O93" s="178"/>
      <c r="P93" s="178"/>
      <c r="Q93" s="178"/>
      <c r="R93" s="178"/>
      <c r="S93" s="178"/>
      <c r="T93" s="178"/>
      <c r="U93" s="178"/>
      <c r="V93" s="178"/>
      <c r="W93" s="178"/>
      <c r="X93" s="157"/>
      <c r="Y93" s="157"/>
      <c r="Z93" s="157"/>
      <c r="AA93" s="157"/>
    </row>
    <row r="94" spans="1:27" ht="15" x14ac:dyDescent="0.25">
      <c r="A94" s="71"/>
      <c r="B94" s="107"/>
      <c r="C94" s="107"/>
      <c r="D94" s="109">
        <v>1</v>
      </c>
      <c r="E94" s="109">
        <v>2</v>
      </c>
      <c r="F94" s="109">
        <v>3</v>
      </c>
      <c r="G94" s="109">
        <v>4</v>
      </c>
      <c r="H94" s="109">
        <v>5</v>
      </c>
      <c r="I94" s="109">
        <v>6</v>
      </c>
      <c r="J94" s="109">
        <v>7</v>
      </c>
      <c r="K94" s="109">
        <v>8</v>
      </c>
      <c r="L94" s="152" t="s">
        <v>81</v>
      </c>
      <c r="M94" s="152" t="s">
        <v>81</v>
      </c>
      <c r="N94" s="152" t="s">
        <v>81</v>
      </c>
      <c r="O94" s="178"/>
      <c r="P94" s="178"/>
      <c r="Q94" s="178"/>
      <c r="R94" s="178"/>
      <c r="S94" s="178"/>
      <c r="T94" s="178"/>
      <c r="U94" s="178"/>
      <c r="V94" s="178"/>
      <c r="W94" s="178"/>
      <c r="X94" s="157"/>
      <c r="Y94" s="157"/>
      <c r="Z94" s="157"/>
      <c r="AA94" s="157"/>
    </row>
    <row r="95" spans="1:27" ht="15" x14ac:dyDescent="0.25">
      <c r="A95" s="71"/>
      <c r="B95" s="110" t="s">
        <v>0</v>
      </c>
      <c r="C95" s="106" t="s">
        <v>1</v>
      </c>
      <c r="D95" s="116">
        <v>135014</v>
      </c>
      <c r="E95" s="116">
        <v>141361</v>
      </c>
      <c r="F95" s="116">
        <v>148004</v>
      </c>
      <c r="G95" s="116">
        <v>154960</v>
      </c>
      <c r="H95" s="116">
        <v>162244</v>
      </c>
      <c r="I95" s="116">
        <v>169868</v>
      </c>
      <c r="J95" s="116">
        <v>177853</v>
      </c>
      <c r="K95" s="116">
        <v>186212</v>
      </c>
      <c r="L95" s="152" t="s">
        <v>81</v>
      </c>
      <c r="M95" s="152" t="s">
        <v>81</v>
      </c>
      <c r="N95" s="152" t="s">
        <v>81</v>
      </c>
      <c r="O95" s="178"/>
      <c r="P95" s="178"/>
      <c r="Q95" s="178"/>
      <c r="R95" s="178"/>
      <c r="S95" s="178"/>
      <c r="T95" s="178"/>
      <c r="U95" s="178"/>
      <c r="V95" s="178"/>
      <c r="W95" s="178"/>
      <c r="X95" s="157"/>
      <c r="Y95" s="157"/>
      <c r="Z95" s="157"/>
      <c r="AA95" s="157"/>
    </row>
    <row r="96" spans="1:27" ht="15" x14ac:dyDescent="0.25">
      <c r="A96" s="71"/>
      <c r="B96" s="110"/>
      <c r="C96" s="106" t="s">
        <v>23</v>
      </c>
      <c r="D96" s="111">
        <f>SUM(((D95*2%)+D95),((D95*2%)+D95)*0.8%)</f>
        <v>138815.99424</v>
      </c>
      <c r="E96" s="111">
        <f t="shared" ref="E96:K96" si="15">SUM(((E95*2%)+E95),((E95*2%)+E95)*0.8%)</f>
        <v>145341.72576</v>
      </c>
      <c r="F96" s="111">
        <f t="shared" si="15"/>
        <v>152171.79264</v>
      </c>
      <c r="G96" s="111">
        <f t="shared" si="15"/>
        <v>159323.67360000001</v>
      </c>
      <c r="H96" s="111">
        <f t="shared" si="15"/>
        <v>166812.79104000001</v>
      </c>
      <c r="I96" s="111">
        <f t="shared" si="15"/>
        <v>174651.48288</v>
      </c>
      <c r="J96" s="111">
        <f t="shared" si="15"/>
        <v>182861.34047999998</v>
      </c>
      <c r="K96" s="111">
        <f t="shared" si="15"/>
        <v>191455.72991999998</v>
      </c>
      <c r="L96" s="152" t="s">
        <v>81</v>
      </c>
      <c r="M96" s="152" t="s">
        <v>81</v>
      </c>
      <c r="N96" s="152" t="s">
        <v>81</v>
      </c>
      <c r="O96" s="178"/>
      <c r="P96" s="178"/>
      <c r="Q96" s="178"/>
      <c r="R96" s="178"/>
      <c r="S96" s="178"/>
      <c r="T96" s="178"/>
      <c r="U96" s="178"/>
      <c r="V96" s="178"/>
      <c r="W96" s="178"/>
      <c r="X96" s="157"/>
      <c r="Y96" s="157"/>
      <c r="Z96" s="157"/>
      <c r="AA96" s="157"/>
    </row>
    <row r="97" spans="1:27" ht="15" x14ac:dyDescent="0.25">
      <c r="A97" s="71"/>
      <c r="B97" s="110"/>
      <c r="C97" s="106" t="s">
        <v>24</v>
      </c>
      <c r="D97" s="111">
        <f>SUM(((D96*2%)+D96),((D96*2%)+D96)*0.2%)</f>
        <v>141875.49875304961</v>
      </c>
      <c r="E97" s="111">
        <f t="shared" ref="E97:K97" si="16">SUM(((E96*2%)+E96),((E96*2%)+E96)*0.2%)</f>
        <v>148545.05739575039</v>
      </c>
      <c r="F97" s="111">
        <f t="shared" si="16"/>
        <v>155525.6589497856</v>
      </c>
      <c r="G97" s="111">
        <f t="shared" si="16"/>
        <v>162835.16736614401</v>
      </c>
      <c r="H97" s="111">
        <f t="shared" si="16"/>
        <v>170489.3449545216</v>
      </c>
      <c r="I97" s="111">
        <f t="shared" si="16"/>
        <v>178500.80156267522</v>
      </c>
      <c r="J97" s="111">
        <f t="shared" si="16"/>
        <v>186891.60442417918</v>
      </c>
      <c r="K97" s="111">
        <f t="shared" si="16"/>
        <v>195675.41420743678</v>
      </c>
      <c r="L97" s="152" t="s">
        <v>81</v>
      </c>
      <c r="M97" s="152" t="s">
        <v>81</v>
      </c>
      <c r="N97" s="152" t="s">
        <v>81</v>
      </c>
      <c r="O97" s="178"/>
      <c r="P97" s="178"/>
      <c r="Q97" s="178"/>
      <c r="R97" s="178"/>
      <c r="S97" s="178"/>
      <c r="T97" s="178"/>
      <c r="U97" s="178"/>
      <c r="V97" s="178"/>
      <c r="W97" s="178"/>
      <c r="X97" s="157"/>
      <c r="Y97" s="157"/>
      <c r="Z97" s="157"/>
      <c r="AA97" s="157"/>
    </row>
    <row r="98" spans="1:27" ht="15" x14ac:dyDescent="0.25">
      <c r="A98" s="71"/>
      <c r="B98" s="110"/>
      <c r="C98" s="106"/>
      <c r="D98" s="111"/>
      <c r="E98" s="111"/>
      <c r="F98" s="111"/>
      <c r="G98" s="111"/>
      <c r="H98" s="111"/>
      <c r="I98" s="111"/>
      <c r="J98" s="111"/>
      <c r="K98" s="111"/>
      <c r="L98" s="152" t="s">
        <v>81</v>
      </c>
      <c r="M98" s="152" t="s">
        <v>81</v>
      </c>
      <c r="N98" s="152" t="s">
        <v>81</v>
      </c>
      <c r="O98" s="178"/>
      <c r="P98" s="178"/>
      <c r="Q98" s="178"/>
      <c r="R98" s="178"/>
      <c r="S98" s="178"/>
      <c r="T98" s="178"/>
      <c r="U98" s="178"/>
      <c r="V98" s="178"/>
      <c r="W98" s="178"/>
      <c r="X98" s="157"/>
      <c r="Y98" s="157"/>
      <c r="Z98" s="157"/>
      <c r="AA98" s="157"/>
    </row>
    <row r="99" spans="1:27" ht="15" x14ac:dyDescent="0.25">
      <c r="A99" s="71"/>
      <c r="B99" s="110"/>
      <c r="C99" s="106" t="s">
        <v>26</v>
      </c>
      <c r="D99" s="111">
        <f>SUM(((D97*1.5%)+D97))</f>
        <v>144003.63123434535</v>
      </c>
      <c r="E99" s="111">
        <f t="shared" ref="E99:K99" si="17">SUM(((E97*1.5%)+E97))</f>
        <v>150773.23325668665</v>
      </c>
      <c r="F99" s="111">
        <f t="shared" si="17"/>
        <v>157858.54383403237</v>
      </c>
      <c r="G99" s="111">
        <f t="shared" si="17"/>
        <v>165277.69487663617</v>
      </c>
      <c r="H99" s="111">
        <f t="shared" si="17"/>
        <v>173046.68512883942</v>
      </c>
      <c r="I99" s="111">
        <f t="shared" si="17"/>
        <v>181178.31358611534</v>
      </c>
      <c r="J99" s="111">
        <f t="shared" si="17"/>
        <v>189694.97849054186</v>
      </c>
      <c r="K99" s="111">
        <f t="shared" si="17"/>
        <v>198610.54542054833</v>
      </c>
      <c r="L99" s="152" t="s">
        <v>81</v>
      </c>
      <c r="M99" s="152" t="s">
        <v>81</v>
      </c>
      <c r="N99" s="152" t="s">
        <v>81</v>
      </c>
      <c r="O99" s="178"/>
      <c r="P99" s="178"/>
      <c r="Q99" s="178"/>
      <c r="R99" s="178"/>
      <c r="S99" s="178"/>
      <c r="T99" s="178"/>
      <c r="U99" s="178"/>
      <c r="V99" s="178"/>
      <c r="W99" s="178"/>
      <c r="X99" s="157"/>
      <c r="Y99" s="157"/>
      <c r="Z99" s="157"/>
      <c r="AA99" s="157"/>
    </row>
    <row r="100" spans="1:27" ht="15" x14ac:dyDescent="0.25">
      <c r="A100" s="71"/>
      <c r="B100" s="110"/>
      <c r="C100" s="106" t="s">
        <v>27</v>
      </c>
      <c r="D100" s="111">
        <f>SUM(((D99*1.5%)+D99))</f>
        <v>146163.68570286053</v>
      </c>
      <c r="E100" s="111">
        <f t="shared" ref="E100:K100" si="18">SUM(((E99*1.5%)+E99))</f>
        <v>153034.83175553696</v>
      </c>
      <c r="F100" s="111">
        <f t="shared" si="18"/>
        <v>160226.42199154285</v>
      </c>
      <c r="G100" s="111">
        <f t="shared" si="18"/>
        <v>167756.86029978571</v>
      </c>
      <c r="H100" s="111">
        <f t="shared" si="18"/>
        <v>175642.38540577202</v>
      </c>
      <c r="I100" s="111">
        <f t="shared" si="18"/>
        <v>183895.98828990708</v>
      </c>
      <c r="J100" s="111">
        <f t="shared" si="18"/>
        <v>192540.40316789999</v>
      </c>
      <c r="K100" s="111">
        <f t="shared" si="18"/>
        <v>201589.70360185654</v>
      </c>
      <c r="L100" s="152" t="s">
        <v>81</v>
      </c>
      <c r="M100" s="152" t="s">
        <v>81</v>
      </c>
      <c r="N100" s="152" t="s">
        <v>81</v>
      </c>
      <c r="O100" s="178"/>
      <c r="P100" s="178"/>
      <c r="Q100" s="178"/>
      <c r="R100" s="178"/>
      <c r="S100" s="178"/>
      <c r="T100" s="178"/>
      <c r="U100" s="178"/>
      <c r="V100" s="178"/>
      <c r="W100" s="178"/>
      <c r="X100" s="157"/>
      <c r="Y100" s="157"/>
      <c r="Z100" s="157"/>
      <c r="AA100" s="157"/>
    </row>
    <row r="101" spans="1:27" x14ac:dyDescent="0.25">
      <c r="A101" s="121"/>
      <c r="B101" s="162"/>
      <c r="C101" s="151"/>
      <c r="D101" s="152"/>
      <c r="E101" s="152"/>
      <c r="F101" s="152"/>
      <c r="G101" s="152"/>
      <c r="H101" s="152"/>
      <c r="I101" s="152"/>
      <c r="J101" s="152"/>
      <c r="K101" s="152"/>
      <c r="L101" s="152"/>
      <c r="M101" s="152"/>
      <c r="N101" s="152"/>
      <c r="O101" s="178"/>
      <c r="P101" s="178"/>
      <c r="Q101" s="178"/>
      <c r="R101" s="178"/>
      <c r="S101" s="178"/>
      <c r="T101" s="178"/>
      <c r="U101" s="178"/>
      <c r="V101" s="178"/>
      <c r="W101" s="178"/>
      <c r="X101" s="157"/>
      <c r="Y101" s="157"/>
      <c r="Z101" s="157"/>
      <c r="AA101" s="157"/>
    </row>
    <row r="102" spans="1:27" x14ac:dyDescent="0.25">
      <c r="A102" s="121"/>
      <c r="B102" s="162"/>
      <c r="C102" s="151"/>
      <c r="D102" s="152"/>
      <c r="E102" s="152"/>
      <c r="F102" s="152"/>
      <c r="G102" s="152"/>
      <c r="H102" s="152"/>
      <c r="I102" s="152"/>
      <c r="J102" s="152"/>
      <c r="K102" s="152"/>
      <c r="L102" s="152"/>
      <c r="M102" s="152"/>
      <c r="N102" s="152"/>
      <c r="O102" s="178"/>
      <c r="P102" s="178"/>
      <c r="Q102" s="178"/>
      <c r="R102" s="178"/>
      <c r="S102" s="178"/>
      <c r="T102" s="178"/>
      <c r="U102" s="178"/>
      <c r="V102" s="178"/>
      <c r="W102" s="178"/>
      <c r="X102" s="157"/>
      <c r="Y102" s="157"/>
      <c r="Z102" s="157"/>
      <c r="AA102" s="157"/>
    </row>
    <row r="103" spans="1:27" x14ac:dyDescent="0.25">
      <c r="A103" s="121"/>
      <c r="B103" s="119"/>
      <c r="C103" s="123"/>
      <c r="D103" s="126"/>
      <c r="E103" s="126"/>
      <c r="F103" s="126"/>
      <c r="G103" s="126"/>
      <c r="H103" s="126"/>
      <c r="I103" s="126"/>
      <c r="J103" s="126"/>
      <c r="K103" s="126"/>
      <c r="L103" s="126"/>
      <c r="M103" s="126"/>
      <c r="N103" s="166"/>
      <c r="O103" s="157"/>
      <c r="P103" s="157"/>
      <c r="Q103" s="157"/>
      <c r="R103" s="157"/>
      <c r="S103" s="157"/>
      <c r="T103" s="157"/>
      <c r="U103" s="157"/>
      <c r="V103" s="157"/>
      <c r="W103" s="157"/>
      <c r="X103" s="157"/>
      <c r="Y103" s="157"/>
      <c r="Z103" s="157"/>
      <c r="AA103" s="157"/>
    </row>
    <row r="104" spans="1:27" x14ac:dyDescent="0.25">
      <c r="A104" s="118" t="s">
        <v>74</v>
      </c>
      <c r="B104" s="119"/>
      <c r="C104" s="119"/>
      <c r="D104" s="119"/>
      <c r="E104" s="119"/>
      <c r="F104" s="119"/>
      <c r="G104" s="119"/>
      <c r="H104" s="119"/>
      <c r="I104" s="119"/>
      <c r="J104" s="119"/>
      <c r="K104" s="119"/>
      <c r="L104" s="119"/>
      <c r="M104" s="119"/>
      <c r="N104" s="157"/>
      <c r="O104" s="157"/>
      <c r="P104" s="157"/>
      <c r="Q104" s="157"/>
      <c r="R104" s="157"/>
      <c r="S104" s="157"/>
      <c r="T104" s="157"/>
      <c r="U104" s="157"/>
      <c r="V104" s="157"/>
      <c r="W104" s="157"/>
      <c r="X104" s="157"/>
      <c r="Y104" s="157"/>
      <c r="Z104" s="157"/>
      <c r="AA104" s="157"/>
    </row>
    <row r="105" spans="1:27" x14ac:dyDescent="0.25">
      <c r="A105" s="156"/>
      <c r="B105" s="119"/>
      <c r="C105" s="119"/>
      <c r="D105" s="153">
        <v>1</v>
      </c>
      <c r="E105" s="153">
        <v>2</v>
      </c>
      <c r="F105" s="153">
        <v>3</v>
      </c>
      <c r="G105" s="153">
        <v>4</v>
      </c>
      <c r="H105" s="153">
        <v>5</v>
      </c>
      <c r="I105" s="153">
        <v>6</v>
      </c>
      <c r="J105" s="153">
        <v>7</v>
      </c>
      <c r="K105" s="153">
        <v>8</v>
      </c>
      <c r="L105" s="119">
        <v>9</v>
      </c>
      <c r="M105" s="119">
        <v>10</v>
      </c>
      <c r="N105" s="119">
        <v>11</v>
      </c>
      <c r="O105" s="157"/>
      <c r="P105" s="157"/>
      <c r="Q105" s="157"/>
      <c r="R105" s="157"/>
      <c r="S105" s="157"/>
      <c r="T105" s="157"/>
      <c r="U105" s="157"/>
      <c r="V105" s="157"/>
      <c r="W105" s="157"/>
      <c r="X105" s="157"/>
      <c r="Y105" s="157"/>
      <c r="Z105" s="157"/>
      <c r="AA105" s="157"/>
    </row>
    <row r="106" spans="1:27" x14ac:dyDescent="0.25">
      <c r="A106" s="121"/>
      <c r="B106" s="119"/>
      <c r="C106" s="151" t="s">
        <v>1</v>
      </c>
      <c r="D106" s="126">
        <f t="shared" ref="D106:N106" si="19">IF($I$4="Select",0,IF($I$4=$B$64,D66,IF($I$4=$B$74,D76,IF($I$4=$B$83,D85,IF($I$4=$B$93,D95)))))</f>
        <v>0</v>
      </c>
      <c r="E106" s="126">
        <f t="shared" si="19"/>
        <v>0</v>
      </c>
      <c r="F106" s="126">
        <f t="shared" si="19"/>
        <v>0</v>
      </c>
      <c r="G106" s="126">
        <f t="shared" si="19"/>
        <v>0</v>
      </c>
      <c r="H106" s="126">
        <f t="shared" si="19"/>
        <v>0</v>
      </c>
      <c r="I106" s="126">
        <f t="shared" si="19"/>
        <v>0</v>
      </c>
      <c r="J106" s="126">
        <f t="shared" si="19"/>
        <v>0</v>
      </c>
      <c r="K106" s="126">
        <f t="shared" si="19"/>
        <v>0</v>
      </c>
      <c r="L106" s="126">
        <f t="shared" si="19"/>
        <v>0</v>
      </c>
      <c r="M106" s="126">
        <f t="shared" si="19"/>
        <v>0</v>
      </c>
      <c r="N106" s="126">
        <f t="shared" si="19"/>
        <v>0</v>
      </c>
      <c r="O106" s="157"/>
      <c r="P106" s="157"/>
      <c r="Q106" s="157"/>
      <c r="R106" s="157"/>
      <c r="S106" s="157"/>
      <c r="T106" s="157"/>
      <c r="U106" s="157"/>
      <c r="V106" s="157"/>
      <c r="W106" s="157"/>
      <c r="X106" s="157"/>
      <c r="Y106" s="157"/>
      <c r="Z106" s="157"/>
      <c r="AA106" s="157"/>
    </row>
    <row r="107" spans="1:27" x14ac:dyDescent="0.25">
      <c r="A107" s="121"/>
      <c r="B107" s="119"/>
      <c r="C107" s="151" t="s">
        <v>23</v>
      </c>
      <c r="D107" s="126">
        <f t="shared" ref="D107:N107" si="20">IF($I$4="Select",0,IF($I$4=$B$64,D67,IF($I$4=$B$74,D77,IF($I$4=$B$83,D86,IF($I$4=$B$93,D96)))))</f>
        <v>0</v>
      </c>
      <c r="E107" s="126">
        <f t="shared" si="20"/>
        <v>0</v>
      </c>
      <c r="F107" s="126">
        <f t="shared" si="20"/>
        <v>0</v>
      </c>
      <c r="G107" s="126">
        <f t="shared" si="20"/>
        <v>0</v>
      </c>
      <c r="H107" s="126">
        <f t="shared" si="20"/>
        <v>0</v>
      </c>
      <c r="I107" s="126">
        <f t="shared" si="20"/>
        <v>0</v>
      </c>
      <c r="J107" s="126">
        <f t="shared" si="20"/>
        <v>0</v>
      </c>
      <c r="K107" s="126">
        <f t="shared" si="20"/>
        <v>0</v>
      </c>
      <c r="L107" s="126">
        <f t="shared" si="20"/>
        <v>0</v>
      </c>
      <c r="M107" s="126">
        <f t="shared" si="20"/>
        <v>0</v>
      </c>
      <c r="N107" s="126">
        <f t="shared" si="20"/>
        <v>0</v>
      </c>
      <c r="O107" s="157"/>
      <c r="P107" s="157"/>
      <c r="Q107" s="157"/>
      <c r="R107" s="157"/>
      <c r="S107" s="157"/>
      <c r="T107" s="157"/>
      <c r="U107" s="157"/>
      <c r="V107" s="157"/>
      <c r="W107" s="157"/>
      <c r="X107" s="157"/>
      <c r="Y107" s="157"/>
      <c r="Z107" s="157"/>
      <c r="AA107" s="157"/>
    </row>
    <row r="108" spans="1:27" x14ac:dyDescent="0.25">
      <c r="A108" s="121"/>
      <c r="B108" s="119"/>
      <c r="C108" s="151" t="s">
        <v>24</v>
      </c>
      <c r="D108" s="126">
        <f t="shared" ref="D108:N108" si="21">IF($I$4="Select",0,IF($I$4=$B$64,D68,IF($I$4=$B$74,D78,IF($I$4=$B$83,D87,IF($I$4=$B$93,D97)))))</f>
        <v>0</v>
      </c>
      <c r="E108" s="126">
        <f t="shared" si="21"/>
        <v>0</v>
      </c>
      <c r="F108" s="126">
        <f t="shared" si="21"/>
        <v>0</v>
      </c>
      <c r="G108" s="126">
        <f t="shared" si="21"/>
        <v>0</v>
      </c>
      <c r="H108" s="126">
        <f t="shared" si="21"/>
        <v>0</v>
      </c>
      <c r="I108" s="126">
        <f t="shared" si="21"/>
        <v>0</v>
      </c>
      <c r="J108" s="126">
        <f t="shared" si="21"/>
        <v>0</v>
      </c>
      <c r="K108" s="126">
        <f t="shared" si="21"/>
        <v>0</v>
      </c>
      <c r="L108" s="126">
        <f t="shared" si="21"/>
        <v>0</v>
      </c>
      <c r="M108" s="126">
        <f t="shared" si="21"/>
        <v>0</v>
      </c>
      <c r="N108" s="126">
        <f t="shared" si="21"/>
        <v>0</v>
      </c>
      <c r="O108" s="157"/>
      <c r="P108" s="157"/>
      <c r="Q108" s="157"/>
      <c r="R108" s="157"/>
      <c r="S108" s="157"/>
      <c r="T108" s="157"/>
      <c r="U108" s="157"/>
      <c r="V108" s="157"/>
      <c r="W108" s="157"/>
      <c r="X108" s="157"/>
      <c r="Y108" s="157"/>
      <c r="Z108" s="157"/>
      <c r="AA108" s="157"/>
    </row>
    <row r="109" spans="1:27" x14ac:dyDescent="0.25">
      <c r="A109" s="121"/>
      <c r="B109" s="119"/>
      <c r="C109" s="151" t="s">
        <v>25</v>
      </c>
      <c r="D109" s="126">
        <f t="shared" ref="D109:N109" si="22">IF($I$4="Select",0,IF($I$4=$B$64,D69,IF($I$4=$B$74,D79,IF($I$4=$B$83,D88,IF($I$4=$B$93,D98)))))</f>
        <v>0</v>
      </c>
      <c r="E109" s="126">
        <f t="shared" si="22"/>
        <v>0</v>
      </c>
      <c r="F109" s="126">
        <f t="shared" si="22"/>
        <v>0</v>
      </c>
      <c r="G109" s="126">
        <f t="shared" si="22"/>
        <v>0</v>
      </c>
      <c r="H109" s="126">
        <f t="shared" si="22"/>
        <v>0</v>
      </c>
      <c r="I109" s="126">
        <f t="shared" si="22"/>
        <v>0</v>
      </c>
      <c r="J109" s="126">
        <f t="shared" si="22"/>
        <v>0</v>
      </c>
      <c r="K109" s="126">
        <f t="shared" si="22"/>
        <v>0</v>
      </c>
      <c r="L109" s="126">
        <f t="shared" si="22"/>
        <v>0</v>
      </c>
      <c r="M109" s="126">
        <f t="shared" si="22"/>
        <v>0</v>
      </c>
      <c r="N109" s="126">
        <f t="shared" si="22"/>
        <v>0</v>
      </c>
      <c r="O109" s="157"/>
      <c r="P109" s="157"/>
      <c r="Q109" s="157"/>
      <c r="R109" s="157"/>
      <c r="S109" s="157"/>
      <c r="T109" s="157"/>
      <c r="U109" s="157"/>
      <c r="V109" s="157"/>
      <c r="W109" s="157"/>
      <c r="X109" s="157"/>
      <c r="Y109" s="157"/>
      <c r="Z109" s="157"/>
      <c r="AA109" s="157"/>
    </row>
    <row r="110" spans="1:27" x14ac:dyDescent="0.25">
      <c r="A110" s="121"/>
      <c r="B110" s="119"/>
      <c r="C110" s="151" t="s">
        <v>26</v>
      </c>
      <c r="D110" s="126">
        <f t="shared" ref="D110:N110" si="23">IF($I$4="Select",0,IF($I$4=$B$64,D70,IF($I$4=$B$74,D80,IF($I$4=$B$83,D89,IF($I$4=$B$93,D99)))))</f>
        <v>0</v>
      </c>
      <c r="E110" s="126">
        <f t="shared" si="23"/>
        <v>0</v>
      </c>
      <c r="F110" s="126">
        <f t="shared" si="23"/>
        <v>0</v>
      </c>
      <c r="G110" s="126">
        <f t="shared" si="23"/>
        <v>0</v>
      </c>
      <c r="H110" s="126">
        <f t="shared" si="23"/>
        <v>0</v>
      </c>
      <c r="I110" s="126">
        <f t="shared" si="23"/>
        <v>0</v>
      </c>
      <c r="J110" s="126">
        <f t="shared" si="23"/>
        <v>0</v>
      </c>
      <c r="K110" s="126">
        <f t="shared" si="23"/>
        <v>0</v>
      </c>
      <c r="L110" s="126">
        <f t="shared" si="23"/>
        <v>0</v>
      </c>
      <c r="M110" s="126">
        <f t="shared" si="23"/>
        <v>0</v>
      </c>
      <c r="N110" s="126">
        <f t="shared" si="23"/>
        <v>0</v>
      </c>
      <c r="O110" s="157"/>
      <c r="P110" s="157"/>
      <c r="Q110" s="157"/>
      <c r="R110" s="157"/>
      <c r="S110" s="157"/>
      <c r="T110" s="157"/>
      <c r="U110" s="157"/>
      <c r="V110" s="157"/>
      <c r="W110" s="157"/>
      <c r="X110" s="157"/>
      <c r="Y110" s="157"/>
      <c r="Z110" s="157"/>
      <c r="AA110" s="157"/>
    </row>
    <row r="111" spans="1:27" x14ac:dyDescent="0.25">
      <c r="A111" s="156"/>
      <c r="B111" s="157"/>
      <c r="C111" s="151" t="s">
        <v>27</v>
      </c>
      <c r="D111" s="126">
        <f t="shared" ref="D111:N111" si="24">IF($I$4="Select",0,IF($I$4=$B$64,D71,IF($I$4=$B$74,D81,IF($I$4=$B$83,D90,IF($I$4=$B$93,D100)))))</f>
        <v>0</v>
      </c>
      <c r="E111" s="126">
        <f t="shared" si="24"/>
        <v>0</v>
      </c>
      <c r="F111" s="126">
        <f t="shared" si="24"/>
        <v>0</v>
      </c>
      <c r="G111" s="126">
        <f t="shared" si="24"/>
        <v>0</v>
      </c>
      <c r="H111" s="126">
        <f t="shared" si="24"/>
        <v>0</v>
      </c>
      <c r="I111" s="126">
        <f t="shared" si="24"/>
        <v>0</v>
      </c>
      <c r="J111" s="126">
        <f t="shared" si="24"/>
        <v>0</v>
      </c>
      <c r="K111" s="126">
        <f t="shared" si="24"/>
        <v>0</v>
      </c>
      <c r="L111" s="126">
        <f t="shared" si="24"/>
        <v>0</v>
      </c>
      <c r="M111" s="126">
        <f t="shared" si="24"/>
        <v>0</v>
      </c>
      <c r="N111" s="126">
        <f t="shared" si="24"/>
        <v>0</v>
      </c>
      <c r="O111" s="157"/>
      <c r="P111" s="157"/>
      <c r="Q111" s="157"/>
      <c r="R111" s="157"/>
      <c r="S111" s="157"/>
      <c r="T111" s="157"/>
      <c r="U111" s="157"/>
      <c r="V111" s="157"/>
      <c r="W111" s="157"/>
      <c r="X111" s="157"/>
      <c r="Y111" s="157"/>
      <c r="Z111" s="157"/>
      <c r="AA111" s="157"/>
    </row>
    <row r="112" spans="1:27" x14ac:dyDescent="0.25">
      <c r="A112" s="156"/>
      <c r="B112" s="157"/>
      <c r="C112" s="123"/>
      <c r="D112" s="126"/>
      <c r="E112" s="126"/>
      <c r="F112" s="126"/>
      <c r="G112" s="126"/>
      <c r="H112" s="126"/>
      <c r="I112" s="126"/>
      <c r="J112" s="126"/>
      <c r="K112" s="126"/>
      <c r="L112" s="126"/>
      <c r="M112" s="126"/>
      <c r="N112" s="126"/>
      <c r="O112" s="157"/>
      <c r="P112" s="157"/>
      <c r="Q112" s="157"/>
      <c r="R112" s="157"/>
      <c r="S112" s="157"/>
      <c r="T112" s="157"/>
      <c r="U112" s="157"/>
      <c r="V112" s="157"/>
      <c r="W112" s="157"/>
      <c r="X112" s="157"/>
      <c r="Y112" s="157"/>
      <c r="Z112" s="157"/>
      <c r="AA112" s="157"/>
    </row>
    <row r="113" spans="1:27" x14ac:dyDescent="0.25">
      <c r="A113" s="156"/>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row>
    <row r="114" spans="1:27" x14ac:dyDescent="0.25">
      <c r="A114" s="156"/>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row>
    <row r="115" spans="1:27" x14ac:dyDescent="0.25">
      <c r="A115" s="156"/>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row>
    <row r="116" spans="1:27" x14ac:dyDescent="0.25">
      <c r="A116" s="156"/>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row>
    <row r="117" spans="1:27" x14ac:dyDescent="0.25">
      <c r="A117" s="156"/>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row>
    <row r="118" spans="1:27" x14ac:dyDescent="0.25">
      <c r="A118" s="156"/>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row>
    <row r="119" spans="1:27" x14ac:dyDescent="0.25">
      <c r="A119" s="156"/>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row>
    <row r="120" spans="1:27" x14ac:dyDescent="0.25">
      <c r="A120" s="156"/>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row>
    <row r="121" spans="1:27" x14ac:dyDescent="0.25">
      <c r="A121" s="156"/>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row>
    <row r="122" spans="1:27" x14ac:dyDescent="0.25">
      <c r="A122" s="156"/>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row>
    <row r="123" spans="1:27" x14ac:dyDescent="0.25">
      <c r="A123" s="156"/>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row>
    <row r="124" spans="1:27" x14ac:dyDescent="0.25">
      <c r="A124" s="156"/>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row>
    <row r="125" spans="1:27" x14ac:dyDescent="0.25">
      <c r="A125" s="156"/>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row>
    <row r="126" spans="1:27" x14ac:dyDescent="0.25">
      <c r="A126" s="156"/>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row>
    <row r="127" spans="1:27" x14ac:dyDescent="0.25">
      <c r="A127" s="156"/>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row>
    <row r="128" spans="1:27" x14ac:dyDescent="0.25">
      <c r="A128" s="156"/>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row>
    <row r="129" spans="1:27" x14ac:dyDescent="0.25">
      <c r="A129" s="156"/>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row>
    <row r="130" spans="1:27" x14ac:dyDescent="0.25">
      <c r="A130" s="156"/>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row>
    <row r="131" spans="1:27" x14ac:dyDescent="0.25">
      <c r="A131" s="156"/>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row>
    <row r="132" spans="1:27" x14ac:dyDescent="0.25">
      <c r="A132" s="156"/>
      <c r="B132" s="119"/>
      <c r="C132" s="123"/>
      <c r="D132" s="126"/>
      <c r="E132" s="126"/>
      <c r="F132" s="126"/>
      <c r="G132" s="126"/>
      <c r="H132" s="126"/>
      <c r="I132" s="126"/>
      <c r="J132" s="126"/>
      <c r="K132" s="126"/>
      <c r="L132" s="126"/>
      <c r="M132" s="126"/>
      <c r="N132" s="166"/>
      <c r="O132" s="157"/>
      <c r="P132" s="157"/>
      <c r="Q132" s="157"/>
      <c r="R132" s="157"/>
      <c r="S132" s="157"/>
      <c r="T132" s="157"/>
      <c r="U132" s="157"/>
      <c r="V132" s="157"/>
      <c r="W132" s="157"/>
      <c r="X132" s="157"/>
      <c r="Y132" s="157"/>
      <c r="Z132" s="157"/>
      <c r="AA132" s="157"/>
    </row>
  </sheetData>
  <sheetProtection algorithmName="SHA-512" hashValue="2o03zcsv7u28F6F3CotbOgRxxBFRC4hIToeUEwDKthzKeCIugVAt8pSoY3HtPaGdb83B26YZ4oK3OvhwsKsBvg==" saltValue="k49qv/BpwTtSjq/ehdFnbA==" spinCount="100000" sheet="1" objects="1" scenarios="1"/>
  <mergeCells count="70">
    <mergeCell ref="B37:C37"/>
    <mergeCell ref="B31:C31"/>
    <mergeCell ref="I4:J4"/>
    <mergeCell ref="H36:I36"/>
    <mergeCell ref="E34:G34"/>
    <mergeCell ref="H34:I34"/>
    <mergeCell ref="B34:C34"/>
    <mergeCell ref="B2:N2"/>
    <mergeCell ref="B1:N1"/>
    <mergeCell ref="B25:N25"/>
    <mergeCell ref="D23:I23"/>
    <mergeCell ref="C6:F6"/>
    <mergeCell ref="B4:H4"/>
    <mergeCell ref="B16:I16"/>
    <mergeCell ref="B11:I11"/>
    <mergeCell ref="P70:U70"/>
    <mergeCell ref="B13:G14"/>
    <mergeCell ref="H13:I13"/>
    <mergeCell ref="H14:I14"/>
    <mergeCell ref="B18:G19"/>
    <mergeCell ref="H18:I18"/>
    <mergeCell ref="H19:I19"/>
    <mergeCell ref="H20:I20"/>
    <mergeCell ref="H21:I21"/>
    <mergeCell ref="D39:I39"/>
    <mergeCell ref="B28:C28"/>
    <mergeCell ref="I29:K29"/>
    <mergeCell ref="E31:G31"/>
    <mergeCell ref="H31:I31"/>
    <mergeCell ref="D36:G36"/>
    <mergeCell ref="B42:N42"/>
    <mergeCell ref="X27:AA27"/>
    <mergeCell ref="D27:G27"/>
    <mergeCell ref="H27:I27"/>
    <mergeCell ref="J27:M27"/>
    <mergeCell ref="P28:R28"/>
    <mergeCell ref="S28:U28"/>
    <mergeCell ref="V28:W28"/>
    <mergeCell ref="P27:Q27"/>
    <mergeCell ref="R27:U27"/>
    <mergeCell ref="V27:W27"/>
    <mergeCell ref="E28:G28"/>
    <mergeCell ref="H28:I28"/>
    <mergeCell ref="W29:Y29"/>
    <mergeCell ref="D30:G30"/>
    <mergeCell ref="H30:I30"/>
    <mergeCell ref="P30:Q30"/>
    <mergeCell ref="R30:U30"/>
    <mergeCell ref="V30:W30"/>
    <mergeCell ref="W32:Y32"/>
    <mergeCell ref="D33:G33"/>
    <mergeCell ref="H33:I33"/>
    <mergeCell ref="P33:Q33"/>
    <mergeCell ref="R33:U33"/>
    <mergeCell ref="V33:W33"/>
    <mergeCell ref="I32:K32"/>
    <mergeCell ref="W38:Y38"/>
    <mergeCell ref="P39:Q39"/>
    <mergeCell ref="E37:G37"/>
    <mergeCell ref="H37:I37"/>
    <mergeCell ref="V37:W37"/>
    <mergeCell ref="I38:K38"/>
    <mergeCell ref="V34:W34"/>
    <mergeCell ref="X34:AA34"/>
    <mergeCell ref="I35:K35"/>
    <mergeCell ref="W35:Y35"/>
    <mergeCell ref="V36:W36"/>
    <mergeCell ref="S34:U34"/>
    <mergeCell ref="J34:M34"/>
    <mergeCell ref="P34:R34"/>
  </mergeCells>
  <dataValidations count="4">
    <dataValidation type="list" allowBlank="1" showInputMessage="1" showErrorMessage="1" sqref="I4" xr:uid="{00000000-0002-0000-0300-000000000000}">
      <formula1>"Select,LP-02_All of Canada except Toronto, LP-02_Toronto,LP-03_All of Canada except Toronto,LP-03_Toronto"</formula1>
    </dataValidation>
    <dataValidation type="decimal" allowBlank="1" showInputMessage="1" showErrorMessage="1" errorTitle="Invalid Entry" error="Please enter a value between 0 to 7" prompt="The value cannot exceed 7%" sqref="J18:J21" xr:uid="{00000000-0002-0000-0300-000001000000}">
      <formula1>0</formula1>
      <formula2>0.07</formula2>
    </dataValidation>
    <dataValidation type="list" allowBlank="1" showInputMessage="1" showErrorMessage="1" sqref="J11" xr:uid="{00000000-0002-0000-0300-000002000000}">
      <formula1>$B$8:$M$8</formula1>
    </dataValidation>
    <dataValidation type="date" operator="greaterThan" allowBlank="1" showInputMessage="1" showErrorMessage="1" sqref="J16" xr:uid="{00000000-0002-0000-0300-000003000000}">
      <formula1>B27</formula1>
    </dataValidation>
  </dataValidations>
  <pageMargins left="0.7" right="0.7" top="0.75" bottom="0.75" header="0.3" footer="0.3"/>
  <pageSetup scale="57" fitToHeight="0" orientation="portrait" verticalDpi="0" r:id="rId1"/>
  <ignoredErrors>
    <ignoredError sqref="K1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'Data Validation'!$A$3:$A$15</xm:f>
          </x14:formula1>
          <xm:sqref>J13</xm:sqref>
        </x14:dataValidation>
        <x14:dataValidation type="list" allowBlank="1" showInputMessage="1" showErrorMessage="1" xr:uid="{00000000-0002-0000-0300-000005000000}">
          <x14:formula1>
            <xm:f>'Data Validation'!$B$3:$B$34</xm:f>
          </x14:formula1>
          <xm:sqref>J14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28"/>
  <sheetViews>
    <sheetView zoomScale="80" zoomScaleNormal="80" workbookViewId="0"/>
  </sheetViews>
  <sheetFormatPr defaultColWidth="8.85546875" defaultRowHeight="18" x14ac:dyDescent="0.25"/>
  <cols>
    <col min="1" max="1" width="4" style="283" customWidth="1"/>
    <col min="2" max="2" width="17.7109375" style="250" customWidth="1"/>
    <col min="3" max="3" width="13.7109375" style="250" customWidth="1"/>
    <col min="4" max="4" width="12.7109375" style="250" customWidth="1"/>
    <col min="5" max="5" width="10.7109375" style="250" customWidth="1"/>
    <col min="6" max="6" width="11.28515625" style="250" customWidth="1"/>
    <col min="7" max="7" width="10.42578125" style="250" customWidth="1"/>
    <col min="8" max="9" width="9" style="250" customWidth="1"/>
    <col min="10" max="10" width="18.85546875" style="250" customWidth="1"/>
    <col min="11" max="11" width="14.28515625" style="250" customWidth="1"/>
    <col min="12" max="12" width="12.42578125" style="250" customWidth="1"/>
    <col min="13" max="13" width="8.140625" style="250" customWidth="1"/>
    <col min="14" max="14" width="9.5703125" style="250" customWidth="1"/>
    <col min="15" max="15" width="3.85546875" style="250" customWidth="1"/>
    <col min="16" max="16" width="12.5703125" style="250" customWidth="1"/>
    <col min="17" max="17" width="13.7109375" style="250" customWidth="1"/>
    <col min="18" max="18" width="13.85546875" style="250" customWidth="1"/>
    <col min="19" max="19" width="8.85546875" style="250"/>
    <col min="20" max="20" width="10.5703125" style="250" bestFit="1" customWidth="1"/>
    <col min="21" max="22" width="8.85546875" style="250"/>
    <col min="23" max="23" width="12" style="250" customWidth="1"/>
    <col min="24" max="25" width="8.85546875" style="250"/>
    <col min="26" max="26" width="9.42578125" style="250" bestFit="1" customWidth="1"/>
    <col min="27" max="16384" width="8.85546875" style="250"/>
  </cols>
  <sheetData>
    <row r="1" spans="1:15" ht="31.9" customHeight="1" thickTop="1" x14ac:dyDescent="0.4">
      <c r="A1" s="234"/>
      <c r="B1" s="350" t="s">
        <v>128</v>
      </c>
      <c r="C1" s="351"/>
      <c r="D1" s="351"/>
      <c r="E1" s="351"/>
      <c r="F1" s="351"/>
      <c r="G1" s="351"/>
      <c r="H1" s="351"/>
      <c r="I1" s="351"/>
      <c r="J1" s="351"/>
      <c r="K1" s="351"/>
      <c r="L1" s="351"/>
      <c r="M1" s="351"/>
      <c r="N1" s="351"/>
      <c r="O1" s="208"/>
    </row>
    <row r="2" spans="1:15" s="259" customFormat="1" ht="61.9" customHeight="1" x14ac:dyDescent="0.25">
      <c r="A2" s="237"/>
      <c r="B2" s="400" t="s">
        <v>54</v>
      </c>
      <c r="C2" s="401"/>
      <c r="D2" s="401"/>
      <c r="E2" s="401"/>
      <c r="F2" s="401"/>
      <c r="G2" s="401"/>
      <c r="H2" s="401"/>
      <c r="I2" s="401"/>
      <c r="J2" s="401"/>
      <c r="K2" s="401"/>
      <c r="L2" s="401"/>
      <c r="M2" s="401"/>
      <c r="N2" s="401"/>
      <c r="O2" s="258"/>
    </row>
    <row r="3" spans="1:15" s="259" customFormat="1" ht="18.75" thickBot="1" x14ac:dyDescent="0.3">
      <c r="A3" s="237"/>
      <c r="B3" s="239"/>
      <c r="C3" s="40"/>
      <c r="D3" s="40"/>
      <c r="E3" s="40"/>
      <c r="F3" s="40"/>
      <c r="G3" s="40"/>
      <c r="H3" s="40"/>
      <c r="I3" s="40"/>
      <c r="J3" s="40"/>
      <c r="K3" s="40"/>
      <c r="L3" s="40"/>
      <c r="M3" s="40"/>
      <c r="N3" s="40"/>
      <c r="O3" s="243"/>
    </row>
    <row r="4" spans="1:15" s="259" customFormat="1" ht="42.6" customHeight="1" thickTop="1" thickBot="1" x14ac:dyDescent="0.3">
      <c r="A4" s="260">
        <v>1</v>
      </c>
      <c r="B4" s="318" t="s">
        <v>55</v>
      </c>
      <c r="C4" s="319"/>
      <c r="D4" s="319"/>
      <c r="E4" s="319"/>
      <c r="F4" s="319"/>
      <c r="G4" s="319"/>
      <c r="H4" s="319"/>
      <c r="I4" s="321" t="s">
        <v>141</v>
      </c>
      <c r="J4" s="322"/>
      <c r="K4" s="40"/>
      <c r="L4" s="40"/>
      <c r="M4" s="40"/>
      <c r="N4" s="40"/>
      <c r="O4" s="243"/>
    </row>
    <row r="5" spans="1:15" s="259" customFormat="1" ht="18.75" thickTop="1" x14ac:dyDescent="0.25">
      <c r="A5" s="245"/>
      <c r="B5" s="239"/>
      <c r="C5" s="40"/>
      <c r="D5" s="203"/>
      <c r="E5" s="203"/>
      <c r="F5" s="203"/>
      <c r="G5" s="203"/>
      <c r="H5" s="203"/>
      <c r="I5" s="203"/>
      <c r="J5" s="203"/>
      <c r="K5" s="40"/>
      <c r="L5" s="40"/>
      <c r="M5" s="40"/>
      <c r="N5" s="40"/>
      <c r="O5" s="243"/>
    </row>
    <row r="6" spans="1:15" s="259" customFormat="1" ht="14.45" customHeight="1" x14ac:dyDescent="0.25">
      <c r="A6" s="245"/>
      <c r="B6" s="202"/>
      <c r="C6" s="203"/>
      <c r="D6" s="203"/>
      <c r="E6" s="203"/>
      <c r="F6" s="203"/>
      <c r="G6" s="203"/>
      <c r="H6" s="203"/>
      <c r="I6" s="203"/>
      <c r="J6" s="203"/>
      <c r="K6" s="40"/>
      <c r="L6" s="40"/>
      <c r="M6" s="40"/>
      <c r="N6" s="194"/>
      <c r="O6" s="243"/>
    </row>
    <row r="7" spans="1:15" s="259" customFormat="1" ht="17.45" customHeight="1" x14ac:dyDescent="0.25">
      <c r="A7" s="245"/>
      <c r="B7" s="204"/>
      <c r="C7" s="194"/>
      <c r="D7" s="194"/>
      <c r="E7" s="194"/>
      <c r="F7" s="323" t="s">
        <v>143</v>
      </c>
      <c r="G7" s="323"/>
      <c r="H7" s="323"/>
      <c r="I7" s="323"/>
      <c r="J7" s="323"/>
      <c r="K7" s="195"/>
      <c r="L7" s="195"/>
      <c r="M7" s="195"/>
      <c r="N7" s="194"/>
      <c r="O7" s="243"/>
    </row>
    <row r="8" spans="1:15" s="259" customFormat="1" ht="17.45" customHeight="1" x14ac:dyDescent="0.25">
      <c r="A8" s="245"/>
      <c r="B8" s="239"/>
      <c r="C8" s="194"/>
      <c r="D8" s="194"/>
      <c r="E8" s="194"/>
      <c r="F8" s="284"/>
      <c r="G8" s="35" t="s">
        <v>129</v>
      </c>
      <c r="H8" s="35">
        <f>IF($I$4="Select",0,IF($I$4=$B$64,D66,IF($I$4=$B$73,D75,IF($I$4=$B$82,D84,IF($I$4=$B$91,D93)))))</f>
        <v>144710</v>
      </c>
      <c r="I8" s="57" t="s">
        <v>130</v>
      </c>
      <c r="J8" s="35">
        <f>IF($I$4="Select",0,IF($I$4=$B$64,F66,IF($I$4=$B$73,F75,IF($I$4=$B$82,F84,IF($I$4=$B$91,F93)))))</f>
        <v>183819</v>
      </c>
      <c r="K8" s="40"/>
      <c r="L8" s="40"/>
      <c r="M8" s="40"/>
      <c r="N8" s="194"/>
      <c r="O8" s="243"/>
    </row>
    <row r="9" spans="1:15" s="259" customFormat="1" x14ac:dyDescent="0.25">
      <c r="A9" s="245"/>
      <c r="B9" s="244"/>
      <c r="C9" s="40"/>
      <c r="D9" s="40"/>
      <c r="E9" s="40"/>
      <c r="F9" s="40"/>
      <c r="G9" s="40"/>
      <c r="H9" s="40"/>
      <c r="I9" s="40"/>
      <c r="J9" s="40"/>
      <c r="K9" s="40"/>
      <c r="L9" s="40"/>
      <c r="M9" s="40"/>
      <c r="N9" s="40"/>
      <c r="O9" s="243"/>
    </row>
    <row r="10" spans="1:15" s="259" customFormat="1" ht="18.75" thickBot="1" x14ac:dyDescent="0.3">
      <c r="A10" s="245"/>
      <c r="B10" s="239"/>
      <c r="C10" s="40"/>
      <c r="D10" s="40"/>
      <c r="E10" s="40"/>
      <c r="F10" s="40"/>
      <c r="G10" s="40"/>
      <c r="H10" s="40"/>
      <c r="I10" s="40"/>
      <c r="J10" s="40"/>
      <c r="K10" s="40"/>
      <c r="L10" s="40"/>
      <c r="M10" s="40"/>
      <c r="N10" s="40"/>
      <c r="O10" s="243"/>
    </row>
    <row r="11" spans="1:15" s="259" customFormat="1" ht="39.6" customHeight="1" thickTop="1" thickBot="1" x14ac:dyDescent="0.3">
      <c r="A11" s="260">
        <v>2</v>
      </c>
      <c r="B11" s="318" t="s">
        <v>28</v>
      </c>
      <c r="C11" s="319"/>
      <c r="D11" s="319"/>
      <c r="E11" s="319"/>
      <c r="F11" s="319"/>
      <c r="G11" s="319"/>
      <c r="H11" s="319"/>
      <c r="I11" s="320"/>
      <c r="J11" s="36">
        <v>0</v>
      </c>
      <c r="K11" s="196"/>
      <c r="L11" s="40"/>
      <c r="M11" s="40"/>
      <c r="N11" s="40"/>
      <c r="O11" s="243"/>
    </row>
    <row r="12" spans="1:15" s="259" customFormat="1" ht="19.5" thickTop="1" thickBot="1" x14ac:dyDescent="0.3">
      <c r="A12" s="245"/>
      <c r="B12" s="239"/>
      <c r="C12" s="40"/>
      <c r="D12" s="40"/>
      <c r="E12" s="40"/>
      <c r="F12" s="40"/>
      <c r="G12" s="40"/>
      <c r="H12" s="40"/>
      <c r="I12" s="40"/>
      <c r="J12" s="40"/>
      <c r="K12" s="261" t="s">
        <v>51</v>
      </c>
      <c r="L12" s="261" t="s">
        <v>19</v>
      </c>
      <c r="M12" s="199"/>
      <c r="N12" s="40"/>
      <c r="O12" s="243"/>
    </row>
    <row r="13" spans="1:15" s="259" customFormat="1" ht="21" customHeight="1" thickTop="1" x14ac:dyDescent="0.25">
      <c r="A13" s="260">
        <v>3</v>
      </c>
      <c r="B13" s="324" t="s">
        <v>5</v>
      </c>
      <c r="C13" s="325"/>
      <c r="D13" s="325"/>
      <c r="E13" s="325"/>
      <c r="F13" s="325"/>
      <c r="G13" s="326"/>
      <c r="H13" s="330" t="s">
        <v>6</v>
      </c>
      <c r="I13" s="331"/>
      <c r="J13" s="37" t="s">
        <v>44</v>
      </c>
      <c r="K13" s="198">
        <f>IF(J13="January",1,IF(J13="February",2,IF(J13="March",3,IF(J13="April",4,IF(J13="May",5,IF(J13="June",6,IF(J13="July",7,IF(J13="August",8,IF(J13="September",9,IF(J13="October",10,IF(J13="November",11,IF(J13="December",12))))))))))))</f>
        <v>5</v>
      </c>
      <c r="L13" s="199">
        <v>2018</v>
      </c>
      <c r="M13" s="199"/>
      <c r="N13" s="40"/>
      <c r="O13" s="243"/>
    </row>
    <row r="14" spans="1:15" s="259" customFormat="1" ht="21" customHeight="1" thickBot="1" x14ac:dyDescent="0.3">
      <c r="A14" s="245"/>
      <c r="B14" s="327"/>
      <c r="C14" s="328"/>
      <c r="D14" s="328"/>
      <c r="E14" s="328"/>
      <c r="F14" s="328"/>
      <c r="G14" s="329"/>
      <c r="H14" s="332" t="s">
        <v>7</v>
      </c>
      <c r="I14" s="333"/>
      <c r="J14" s="38">
        <v>10</v>
      </c>
      <c r="K14" s="199"/>
      <c r="L14" s="199">
        <v>2019</v>
      </c>
      <c r="M14" s="199"/>
      <c r="N14" s="40"/>
      <c r="O14" s="243"/>
    </row>
    <row r="15" spans="1:15" s="259" customFormat="1" ht="19.5" thickTop="1" thickBot="1" x14ac:dyDescent="0.3">
      <c r="A15" s="245"/>
      <c r="B15" s="40"/>
      <c r="C15" s="40"/>
      <c r="D15" s="40"/>
      <c r="E15" s="40"/>
      <c r="F15" s="40"/>
      <c r="G15" s="40"/>
      <c r="H15" s="40"/>
      <c r="I15" s="40"/>
      <c r="J15" s="40"/>
      <c r="K15" s="199"/>
      <c r="L15" s="199">
        <v>2020</v>
      </c>
      <c r="M15" s="199"/>
      <c r="N15" s="40"/>
      <c r="O15" s="243"/>
    </row>
    <row r="16" spans="1:15" s="259" customFormat="1" ht="32.450000000000003" customHeight="1" thickTop="1" thickBot="1" x14ac:dyDescent="0.3">
      <c r="A16" s="245"/>
      <c r="B16" s="318" t="s">
        <v>186</v>
      </c>
      <c r="C16" s="319"/>
      <c r="D16" s="319"/>
      <c r="E16" s="319"/>
      <c r="F16" s="319"/>
      <c r="G16" s="319"/>
      <c r="H16" s="319"/>
      <c r="I16" s="320"/>
      <c r="J16" s="402">
        <v>43782</v>
      </c>
      <c r="K16" s="199"/>
      <c r="L16" s="199">
        <v>2021</v>
      </c>
      <c r="M16" s="199"/>
      <c r="N16" s="40"/>
      <c r="O16" s="243"/>
    </row>
    <row r="17" spans="1:27" s="259" customFormat="1" ht="19.5" thickTop="1" thickBot="1" x14ac:dyDescent="0.3">
      <c r="A17" s="245"/>
      <c r="B17" s="285"/>
      <c r="C17" s="285"/>
      <c r="D17" s="285"/>
      <c r="E17" s="285"/>
      <c r="F17" s="285"/>
      <c r="G17" s="285"/>
      <c r="H17" s="285"/>
      <c r="I17" s="285"/>
      <c r="J17" s="286"/>
      <c r="K17" s="284"/>
      <c r="L17" s="284"/>
      <c r="M17" s="40"/>
      <c r="N17" s="40"/>
      <c r="O17" s="243"/>
    </row>
    <row r="18" spans="1:27" s="259" customFormat="1" ht="39.6" customHeight="1" thickTop="1" thickBot="1" x14ac:dyDescent="0.3">
      <c r="A18" s="245"/>
      <c r="B18" s="40"/>
      <c r="C18" s="40"/>
      <c r="D18" s="40"/>
      <c r="E18" s="40"/>
      <c r="F18" s="40"/>
      <c r="G18" s="40"/>
      <c r="H18" s="40"/>
      <c r="I18" s="40"/>
      <c r="J18" s="287" t="s">
        <v>131</v>
      </c>
      <c r="K18" s="287" t="s">
        <v>132</v>
      </c>
      <c r="L18" s="40"/>
      <c r="M18" s="40"/>
      <c r="N18" s="40"/>
      <c r="O18" s="243"/>
    </row>
    <row r="19" spans="1:27" s="259" customFormat="1" ht="22.9" customHeight="1" thickTop="1" thickBot="1" x14ac:dyDescent="0.3">
      <c r="A19" s="260">
        <v>4</v>
      </c>
      <c r="B19" s="324" t="s">
        <v>8</v>
      </c>
      <c r="C19" s="325"/>
      <c r="D19" s="325"/>
      <c r="E19" s="325"/>
      <c r="F19" s="325"/>
      <c r="G19" s="325"/>
      <c r="H19" s="396" t="s">
        <v>9</v>
      </c>
      <c r="I19" s="396"/>
      <c r="J19" s="39">
        <v>0</v>
      </c>
      <c r="K19" s="39">
        <v>0</v>
      </c>
      <c r="L19" s="40"/>
      <c r="M19" s="40"/>
      <c r="N19" s="40"/>
      <c r="O19" s="243"/>
    </row>
    <row r="20" spans="1:27" s="259" customFormat="1" ht="22.9" customHeight="1" thickTop="1" thickBot="1" x14ac:dyDescent="0.3">
      <c r="A20" s="245"/>
      <c r="B20" s="327"/>
      <c r="C20" s="328"/>
      <c r="D20" s="328"/>
      <c r="E20" s="328"/>
      <c r="F20" s="328"/>
      <c r="G20" s="328"/>
      <c r="H20" s="397" t="s">
        <v>10</v>
      </c>
      <c r="I20" s="397"/>
      <c r="J20" s="39">
        <v>0</v>
      </c>
      <c r="K20" s="39">
        <v>0</v>
      </c>
      <c r="L20" s="40"/>
      <c r="M20" s="40"/>
      <c r="N20" s="40"/>
      <c r="O20" s="243"/>
    </row>
    <row r="21" spans="1:27" s="259" customFormat="1" ht="22.9" customHeight="1" thickTop="1" thickBot="1" x14ac:dyDescent="0.3">
      <c r="A21" s="245"/>
      <c r="B21" s="40"/>
      <c r="C21" s="40"/>
      <c r="D21" s="40"/>
      <c r="E21" s="40"/>
      <c r="F21" s="40"/>
      <c r="G21" s="40"/>
      <c r="H21" s="397" t="s">
        <v>30</v>
      </c>
      <c r="I21" s="397"/>
      <c r="J21" s="39">
        <v>0</v>
      </c>
      <c r="K21" s="39">
        <v>0</v>
      </c>
      <c r="L21" s="40"/>
      <c r="M21" s="40"/>
      <c r="N21" s="40"/>
      <c r="O21" s="243"/>
    </row>
    <row r="22" spans="1:27" s="259" customFormat="1" ht="22.9" customHeight="1" thickTop="1" x14ac:dyDescent="0.25">
      <c r="A22" s="245"/>
      <c r="B22" s="40"/>
      <c r="C22" s="40"/>
      <c r="D22" s="40"/>
      <c r="E22" s="40"/>
      <c r="F22" s="40"/>
      <c r="G22" s="40"/>
      <c r="H22" s="397" t="s">
        <v>31</v>
      </c>
      <c r="I22" s="397"/>
      <c r="J22" s="39">
        <v>0</v>
      </c>
      <c r="K22" s="39">
        <v>0</v>
      </c>
      <c r="L22" s="40"/>
      <c r="M22" s="40"/>
      <c r="N22" s="40"/>
      <c r="O22" s="243"/>
    </row>
    <row r="23" spans="1:27" ht="24.6" customHeight="1" thickBot="1" x14ac:dyDescent="0.3">
      <c r="A23" s="237"/>
      <c r="B23" s="200"/>
      <c r="C23" s="200"/>
      <c r="D23" s="200"/>
      <c r="E23" s="200"/>
      <c r="F23" s="200"/>
      <c r="G23" s="200"/>
      <c r="H23" s="200"/>
      <c r="I23" s="200"/>
      <c r="J23" s="200"/>
      <c r="K23" s="200"/>
      <c r="L23" s="200"/>
      <c r="M23" s="200"/>
      <c r="N23" s="200"/>
      <c r="O23" s="207"/>
    </row>
    <row r="24" spans="1:27" s="262" customFormat="1" ht="30.6" customHeight="1" thickTop="1" thickBot="1" x14ac:dyDescent="0.35">
      <c r="A24" s="246"/>
      <c r="B24" s="247"/>
      <c r="C24" s="247"/>
      <c r="D24" s="344" t="s">
        <v>167</v>
      </c>
      <c r="E24" s="344"/>
      <c r="F24" s="344"/>
      <c r="G24" s="344"/>
      <c r="H24" s="344"/>
      <c r="I24" s="344"/>
      <c r="J24" s="288">
        <f>IFERROR(SUM(E60,E61),"")</f>
        <v>0</v>
      </c>
      <c r="K24" s="201"/>
      <c r="L24" s="201"/>
      <c r="M24" s="201"/>
      <c r="N24" s="201"/>
      <c r="O24" s="248"/>
    </row>
    <row r="25" spans="1:27" ht="11.45" customHeight="1" thickTop="1" thickBot="1" x14ac:dyDescent="0.4">
      <c r="A25" s="249"/>
      <c r="B25" s="205"/>
      <c r="C25" s="205"/>
      <c r="D25" s="205"/>
      <c r="E25" s="205"/>
      <c r="F25" s="205"/>
      <c r="G25" s="205"/>
      <c r="H25" s="205"/>
      <c r="I25" s="205"/>
      <c r="J25" s="1"/>
      <c r="K25" s="206"/>
      <c r="L25" s="206"/>
      <c r="M25" s="206"/>
      <c r="N25" s="206"/>
      <c r="O25" s="207"/>
    </row>
    <row r="26" spans="1:27" ht="30.75" thickTop="1" x14ac:dyDescent="0.4">
      <c r="A26" s="246"/>
      <c r="B26" s="345" t="s">
        <v>133</v>
      </c>
      <c r="C26" s="345"/>
      <c r="D26" s="345"/>
      <c r="E26" s="345"/>
      <c r="F26" s="345"/>
      <c r="G26" s="345"/>
      <c r="H26" s="345"/>
      <c r="I26" s="345"/>
      <c r="J26" s="345"/>
      <c r="K26" s="345"/>
      <c r="L26" s="345"/>
      <c r="M26" s="345"/>
      <c r="N26" s="345"/>
      <c r="O26" s="208"/>
      <c r="P26" s="263"/>
      <c r="Q26" s="263"/>
      <c r="R26" s="263"/>
      <c r="S26" s="263"/>
      <c r="T26" s="263"/>
      <c r="U26" s="263"/>
      <c r="V26" s="263"/>
      <c r="W26" s="263"/>
      <c r="X26" s="263"/>
      <c r="Y26" s="263"/>
      <c r="Z26" s="263"/>
      <c r="AA26" s="263"/>
    </row>
    <row r="27" spans="1:27" ht="18" customHeight="1" x14ac:dyDescent="0.4">
      <c r="A27" s="246"/>
      <c r="B27" s="209"/>
      <c r="C27" s="209"/>
      <c r="D27" s="209"/>
      <c r="E27" s="209"/>
      <c r="F27" s="209"/>
      <c r="G27" s="209"/>
      <c r="H27" s="209"/>
      <c r="I27" s="209"/>
      <c r="J27" s="209"/>
      <c r="K27" s="209"/>
      <c r="L27" s="209"/>
      <c r="M27" s="209"/>
      <c r="N27" s="209"/>
      <c r="O27" s="210"/>
      <c r="P27" s="263"/>
      <c r="Q27" s="263"/>
      <c r="R27" s="263"/>
      <c r="S27" s="263"/>
      <c r="T27" s="263"/>
      <c r="U27" s="263"/>
      <c r="V27" s="263"/>
      <c r="W27" s="263"/>
      <c r="X27" s="263"/>
      <c r="Y27" s="263"/>
      <c r="Z27" s="263"/>
      <c r="AA27" s="263"/>
    </row>
    <row r="28" spans="1:27" ht="27" x14ac:dyDescent="0.35">
      <c r="A28" s="42"/>
      <c r="B28" s="50">
        <v>43230</v>
      </c>
      <c r="C28" s="3"/>
      <c r="D28" s="356" t="s">
        <v>120</v>
      </c>
      <c r="E28" s="357"/>
      <c r="F28" s="357"/>
      <c r="G28" s="357"/>
      <c r="H28" s="388">
        <f>SUM(((J11*2%)+J11),((J11*2%)+J11)*0.8%)</f>
        <v>0</v>
      </c>
      <c r="I28" s="388"/>
      <c r="J28" s="355"/>
      <c r="K28" s="355"/>
      <c r="L28" s="355"/>
      <c r="M28" s="355"/>
      <c r="N28" s="211"/>
      <c r="O28" s="4"/>
      <c r="P28" s="393"/>
      <c r="Q28" s="393"/>
      <c r="R28" s="383"/>
      <c r="S28" s="383"/>
      <c r="T28" s="383"/>
      <c r="U28" s="383"/>
      <c r="V28" s="378"/>
      <c r="W28" s="378"/>
      <c r="X28" s="379"/>
      <c r="Y28" s="379"/>
      <c r="Z28" s="379"/>
      <c r="AA28" s="379"/>
    </row>
    <row r="29" spans="1:27" ht="15.6" customHeight="1" x14ac:dyDescent="0.25">
      <c r="A29" s="43"/>
      <c r="B29" s="348" t="s">
        <v>122</v>
      </c>
      <c r="C29" s="348"/>
      <c r="D29" s="264">
        <f>DATE(L13,K13,J14)</f>
        <v>43230</v>
      </c>
      <c r="E29" s="394" t="str">
        <f>IF(LARGE(LP04_LP05_A,1)=H28,"Top of pay scale reached. ","In-range increase")</f>
        <v>In-range increase</v>
      </c>
      <c r="F29" s="394"/>
      <c r="G29" s="394"/>
      <c r="H29" s="387">
        <f>IF(((J19*H28)+H28)&gt;=F103,H28,IF(((J19*H28)+H28)&lt;F103,((J19*H28)+H28),((J19*H28)+H28)))</f>
        <v>0</v>
      </c>
      <c r="I29" s="387"/>
      <c r="J29" s="5"/>
      <c r="K29" s="5"/>
      <c r="L29" s="6"/>
      <c r="M29" s="5"/>
      <c r="N29" s="212"/>
      <c r="O29" s="7"/>
      <c r="P29" s="384"/>
      <c r="Q29" s="384"/>
      <c r="R29" s="384"/>
      <c r="S29" s="392"/>
      <c r="T29" s="392"/>
      <c r="U29" s="392"/>
      <c r="V29" s="378"/>
      <c r="W29" s="378"/>
      <c r="X29" s="8"/>
      <c r="Y29" s="8"/>
      <c r="Z29" s="9"/>
      <c r="AA29" s="8"/>
    </row>
    <row r="30" spans="1:27" ht="24" customHeight="1" x14ac:dyDescent="0.35">
      <c r="A30" s="42"/>
      <c r="B30" s="10"/>
      <c r="C30" s="10"/>
      <c r="D30" s="10"/>
      <c r="E30" s="10"/>
      <c r="F30" s="10"/>
      <c r="G30" s="10"/>
      <c r="H30" s="58">
        <f>H29*K19</f>
        <v>0</v>
      </c>
      <c r="I30" s="399" t="s">
        <v>144</v>
      </c>
      <c r="J30" s="399"/>
      <c r="K30" s="399"/>
      <c r="L30" s="11"/>
      <c r="M30" s="11"/>
      <c r="N30" s="211"/>
      <c r="O30" s="4"/>
      <c r="P30" s="12"/>
      <c r="Q30" s="12"/>
      <c r="R30" s="12"/>
      <c r="S30" s="12"/>
      <c r="T30" s="12"/>
      <c r="U30" s="12"/>
      <c r="V30" s="13"/>
      <c r="W30" s="390"/>
      <c r="X30" s="390"/>
      <c r="Y30" s="390"/>
      <c r="Z30" s="13"/>
      <c r="AA30" s="13"/>
    </row>
    <row r="31" spans="1:27" ht="34.9" customHeight="1" x14ac:dyDescent="0.35">
      <c r="A31" s="42"/>
      <c r="B31" s="50">
        <v>43595</v>
      </c>
      <c r="C31" s="2"/>
      <c r="D31" s="356" t="s">
        <v>121</v>
      </c>
      <c r="E31" s="357"/>
      <c r="F31" s="357"/>
      <c r="G31" s="357"/>
      <c r="H31" s="388">
        <f>SUM(((H29*2%)+H29),((H29*2%)+H29)*0.2%)</f>
        <v>0</v>
      </c>
      <c r="I31" s="388"/>
      <c r="J31" s="5"/>
      <c r="K31" s="5"/>
      <c r="L31" s="5"/>
      <c r="M31" s="5"/>
      <c r="N31" s="211"/>
      <c r="O31" s="4"/>
      <c r="P31" s="389"/>
      <c r="Q31" s="389"/>
      <c r="R31" s="383"/>
      <c r="S31" s="383"/>
      <c r="T31" s="383"/>
      <c r="U31" s="383"/>
      <c r="V31" s="391"/>
      <c r="W31" s="391"/>
      <c r="X31" s="8"/>
      <c r="Y31" s="8"/>
      <c r="Z31" s="8"/>
      <c r="AA31" s="8"/>
    </row>
    <row r="32" spans="1:27" ht="28.9" customHeight="1" x14ac:dyDescent="0.35">
      <c r="A32" s="246"/>
      <c r="B32" s="348" t="s">
        <v>122</v>
      </c>
      <c r="C32" s="348"/>
      <c r="D32" s="264">
        <f>DATE(L14,K13,J14)</f>
        <v>43595</v>
      </c>
      <c r="E32" s="386" t="str">
        <f>IF(LARGE(LP04_LP05_B,1)=H31,"Top of pay scale reached. ","In-range increase")</f>
        <v>In-range increase</v>
      </c>
      <c r="F32" s="386"/>
      <c r="G32" s="386"/>
      <c r="H32" s="387">
        <f>IF(((J20*H31)+H31)&gt;=F104,H31,IF(((J20*H31)+H31)&lt;F104,((J20*H31)+H31),((J20*H31)+H31)))</f>
        <v>0</v>
      </c>
      <c r="I32" s="387"/>
      <c r="J32" s="5"/>
      <c r="K32" s="5"/>
      <c r="L32" s="5"/>
      <c r="M32" s="5"/>
      <c r="N32" s="211"/>
      <c r="O32" s="4"/>
      <c r="P32" s="12"/>
      <c r="Q32" s="12"/>
      <c r="R32" s="12"/>
      <c r="S32" s="14"/>
      <c r="T32" s="14"/>
      <c r="U32" s="15"/>
      <c r="V32" s="8"/>
      <c r="W32" s="8"/>
      <c r="X32" s="8"/>
      <c r="Y32" s="8"/>
      <c r="Z32" s="8"/>
      <c r="AA32" s="8"/>
    </row>
    <row r="33" spans="1:27" ht="24" customHeight="1" x14ac:dyDescent="0.35">
      <c r="A33" s="42"/>
      <c r="B33" s="16"/>
      <c r="C33" s="16"/>
      <c r="D33" s="17"/>
      <c r="E33" s="17"/>
      <c r="F33" s="17"/>
      <c r="G33" s="17"/>
      <c r="H33" s="58">
        <f>H32*K20</f>
        <v>0</v>
      </c>
      <c r="I33" s="399" t="s">
        <v>144</v>
      </c>
      <c r="J33" s="399"/>
      <c r="K33" s="399"/>
      <c r="L33" s="53"/>
      <c r="M33" s="53"/>
      <c r="N33" s="211"/>
      <c r="O33" s="4"/>
      <c r="P33" s="18"/>
      <c r="Q33" s="18"/>
      <c r="R33" s="19"/>
      <c r="S33" s="19"/>
      <c r="T33" s="19"/>
      <c r="U33" s="19"/>
      <c r="V33" s="54"/>
      <c r="W33" s="381"/>
      <c r="X33" s="381"/>
      <c r="Y33" s="381"/>
      <c r="Z33" s="54"/>
      <c r="AA33" s="54"/>
    </row>
    <row r="34" spans="1:27" ht="32.450000000000003" customHeight="1" x14ac:dyDescent="0.35">
      <c r="A34" s="42"/>
      <c r="B34" s="50">
        <v>43961</v>
      </c>
      <c r="C34" s="2"/>
      <c r="D34" s="357" t="s">
        <v>2</v>
      </c>
      <c r="E34" s="357"/>
      <c r="F34" s="357"/>
      <c r="G34" s="357"/>
      <c r="H34" s="388">
        <f>(H32*1.5%)+H32</f>
        <v>0</v>
      </c>
      <c r="I34" s="388"/>
      <c r="J34" s="5"/>
      <c r="K34" s="5"/>
      <c r="L34" s="5"/>
      <c r="M34" s="5"/>
      <c r="N34" s="211"/>
      <c r="O34" s="4"/>
      <c r="P34" s="389"/>
      <c r="Q34" s="389"/>
      <c r="R34" s="383"/>
      <c r="S34" s="383"/>
      <c r="T34" s="383"/>
      <c r="U34" s="383"/>
      <c r="V34" s="382"/>
      <c r="W34" s="382"/>
      <c r="X34" s="8"/>
      <c r="Y34" s="8"/>
      <c r="Z34" s="8"/>
      <c r="AA34" s="8"/>
    </row>
    <row r="35" spans="1:27" ht="22.9" customHeight="1" x14ac:dyDescent="0.25">
      <c r="A35" s="246"/>
      <c r="B35" s="348" t="s">
        <v>122</v>
      </c>
      <c r="C35" s="348"/>
      <c r="D35" s="264">
        <f>DATE(L15,K13,J14)</f>
        <v>43961</v>
      </c>
      <c r="E35" s="386" t="str">
        <f>IF(LARGE(LP04_LP05_C,1)=H34,"Top of pay scale reached. ","In-range increase")</f>
        <v>In-range increase</v>
      </c>
      <c r="F35" s="386"/>
      <c r="G35" s="386"/>
      <c r="H35" s="387">
        <f>IF(((J21*H34)+H34)&gt;=F106,H34,IF(((J21*H34)+H34)&lt;F106,((J21*H34)+H34),((J21*H34)+H34)))</f>
        <v>0</v>
      </c>
      <c r="I35" s="387"/>
      <c r="J35" s="355"/>
      <c r="K35" s="355"/>
      <c r="L35" s="355"/>
      <c r="M35" s="355"/>
      <c r="N35" s="211"/>
      <c r="O35" s="7"/>
      <c r="P35" s="384"/>
      <c r="Q35" s="384"/>
      <c r="R35" s="384"/>
      <c r="S35" s="383"/>
      <c r="T35" s="383"/>
      <c r="U35" s="383"/>
      <c r="V35" s="378"/>
      <c r="W35" s="378"/>
      <c r="X35" s="379"/>
      <c r="Y35" s="379"/>
      <c r="Z35" s="379"/>
      <c r="AA35" s="379"/>
    </row>
    <row r="36" spans="1:27" ht="24" customHeight="1" x14ac:dyDescent="0.35">
      <c r="A36" s="42"/>
      <c r="B36" s="5"/>
      <c r="C36" s="10"/>
      <c r="D36" s="17"/>
      <c r="E36" s="17"/>
      <c r="F36" s="17"/>
      <c r="G36" s="17"/>
      <c r="H36" s="58">
        <f>H35*K21</f>
        <v>0</v>
      </c>
      <c r="I36" s="399" t="s">
        <v>144</v>
      </c>
      <c r="J36" s="399"/>
      <c r="K36" s="399"/>
      <c r="L36" s="20"/>
      <c r="M36" s="20"/>
      <c r="N36" s="211"/>
      <c r="O36" s="4"/>
      <c r="P36" s="8"/>
      <c r="Q36" s="12"/>
      <c r="R36" s="19"/>
      <c r="S36" s="19"/>
      <c r="T36" s="19"/>
      <c r="U36" s="19"/>
      <c r="V36" s="54"/>
      <c r="W36" s="381"/>
      <c r="X36" s="381"/>
      <c r="Y36" s="381"/>
      <c r="Z36" s="21"/>
      <c r="AA36" s="21"/>
    </row>
    <row r="37" spans="1:27" ht="32.450000000000003" customHeight="1" x14ac:dyDescent="0.35">
      <c r="A37" s="42"/>
      <c r="B37" s="50">
        <v>44326</v>
      </c>
      <c r="C37" s="2"/>
      <c r="D37" s="357" t="s">
        <v>2</v>
      </c>
      <c r="E37" s="357"/>
      <c r="F37" s="357"/>
      <c r="G37" s="357"/>
      <c r="H37" s="388">
        <f>(H35*1.5%)+H35</f>
        <v>0</v>
      </c>
      <c r="I37" s="388"/>
      <c r="J37" s="5"/>
      <c r="K37" s="5"/>
      <c r="L37" s="5"/>
      <c r="M37" s="5"/>
      <c r="N37" s="211"/>
      <c r="O37" s="4"/>
      <c r="P37" s="22"/>
      <c r="Q37" s="22"/>
      <c r="R37" s="23"/>
      <c r="S37" s="23"/>
      <c r="T37" s="23"/>
      <c r="U37" s="23"/>
      <c r="V37" s="382"/>
      <c r="W37" s="382"/>
      <c r="X37" s="8"/>
      <c r="Y37" s="8"/>
      <c r="Z37" s="8"/>
      <c r="AA37" s="8"/>
    </row>
    <row r="38" spans="1:27" x14ac:dyDescent="0.25">
      <c r="A38" s="246"/>
      <c r="B38" s="348" t="s">
        <v>122</v>
      </c>
      <c r="C38" s="348"/>
      <c r="D38" s="264">
        <f>DATE(L16,K13,J14)</f>
        <v>44326</v>
      </c>
      <c r="E38" s="386" t="str">
        <f>IF(LARGE(LP04_LP05_D,1)=H37,"Top of pay scale reached. ","In-range increase")</f>
        <v>In-range increase</v>
      </c>
      <c r="F38" s="386"/>
      <c r="G38" s="386"/>
      <c r="H38" s="387">
        <f>IF(((J22*H37)+H37)&gt;=F107,H37,IF(((J22*H37)+H37)&lt;F107,((J22*H37)+H37),((J22*H37)+H37)))</f>
        <v>0</v>
      </c>
      <c r="I38" s="387"/>
      <c r="J38" s="5"/>
      <c r="K38" s="5"/>
      <c r="L38" s="5"/>
      <c r="M38" s="5"/>
      <c r="N38" s="211"/>
      <c r="O38" s="7"/>
      <c r="P38" s="12"/>
      <c r="Q38" s="12"/>
      <c r="R38" s="12"/>
      <c r="S38" s="23"/>
      <c r="T38" s="265"/>
      <c r="U38" s="23"/>
      <c r="V38" s="378"/>
      <c r="W38" s="378"/>
      <c r="X38" s="8"/>
      <c r="Y38" s="8"/>
      <c r="Z38" s="8"/>
      <c r="AA38" s="8"/>
    </row>
    <row r="39" spans="1:27" ht="24" customHeight="1" x14ac:dyDescent="0.25">
      <c r="A39" s="44"/>
      <c r="B39" s="5"/>
      <c r="C39" s="10"/>
      <c r="D39" s="17"/>
      <c r="E39" s="17"/>
      <c r="F39" s="17"/>
      <c r="G39" s="17"/>
      <c r="H39" s="58">
        <f>H38*K22</f>
        <v>0</v>
      </c>
      <c r="I39" s="399" t="s">
        <v>144</v>
      </c>
      <c r="J39" s="399"/>
      <c r="K39" s="399"/>
      <c r="L39" s="24"/>
      <c r="M39" s="24"/>
      <c r="N39" s="211"/>
      <c r="O39" s="25"/>
      <c r="P39" s="8"/>
      <c r="Q39" s="12"/>
      <c r="R39" s="26"/>
      <c r="S39" s="26"/>
      <c r="T39" s="27"/>
      <c r="U39" s="19"/>
      <c r="V39" s="54"/>
      <c r="W39" s="381"/>
      <c r="X39" s="381"/>
      <c r="Y39" s="381"/>
      <c r="Z39" s="28"/>
      <c r="AA39" s="28"/>
    </row>
    <row r="40" spans="1:27" ht="32.450000000000003" customHeight="1" x14ac:dyDescent="0.3">
      <c r="A40" s="44"/>
      <c r="B40" s="50">
        <v>44690</v>
      </c>
      <c r="C40" s="2"/>
      <c r="D40" s="372" t="s">
        <v>18</v>
      </c>
      <c r="E40" s="372"/>
      <c r="F40" s="372"/>
      <c r="G40" s="372"/>
      <c r="H40" s="372"/>
      <c r="I40" s="372"/>
      <c r="J40" s="53"/>
      <c r="K40" s="24"/>
      <c r="L40" s="24"/>
      <c r="M40" s="24"/>
      <c r="N40" s="211"/>
      <c r="O40" s="25"/>
      <c r="P40" s="385"/>
      <c r="Q40" s="385"/>
      <c r="R40" s="29"/>
      <c r="S40" s="29"/>
      <c r="T40" s="27"/>
      <c r="U40" s="12"/>
      <c r="V40" s="54"/>
      <c r="W40" s="54"/>
      <c r="X40" s="54"/>
      <c r="Y40" s="28"/>
      <c r="Z40" s="28"/>
      <c r="AA40" s="28"/>
    </row>
    <row r="41" spans="1:27" ht="16.899999999999999" customHeight="1" x14ac:dyDescent="0.25">
      <c r="A41" s="44"/>
      <c r="B41" s="30"/>
      <c r="C41" s="30"/>
      <c r="D41" s="31"/>
      <c r="E41" s="31"/>
      <c r="F41" s="31"/>
      <c r="G41" s="31"/>
      <c r="H41" s="53"/>
      <c r="I41" s="53"/>
      <c r="J41" s="53"/>
      <c r="K41" s="24"/>
      <c r="L41" s="24"/>
      <c r="M41" s="24"/>
      <c r="N41" s="211"/>
      <c r="O41" s="25"/>
      <c r="P41" s="55"/>
      <c r="Q41" s="55"/>
      <c r="R41" s="29"/>
      <c r="S41" s="29"/>
      <c r="T41" s="27"/>
      <c r="U41" s="12"/>
      <c r="V41" s="54"/>
      <c r="W41" s="54"/>
      <c r="X41" s="54"/>
      <c r="Y41" s="28"/>
      <c r="Z41" s="28"/>
      <c r="AA41" s="28"/>
    </row>
    <row r="42" spans="1:27" ht="14.45" customHeight="1" thickBot="1" x14ac:dyDescent="0.25">
      <c r="A42" s="45"/>
      <c r="B42" s="32"/>
      <c r="C42" s="32"/>
      <c r="D42" s="32"/>
      <c r="E42" s="32"/>
      <c r="F42" s="32"/>
      <c r="G42" s="32"/>
      <c r="H42" s="32"/>
      <c r="I42" s="32"/>
      <c r="J42" s="32"/>
      <c r="K42" s="32"/>
      <c r="L42" s="32"/>
      <c r="M42" s="32"/>
      <c r="N42" s="32"/>
      <c r="O42" s="33"/>
      <c r="P42" s="55"/>
      <c r="Q42" s="55"/>
      <c r="R42" s="29"/>
      <c r="S42" s="29"/>
      <c r="T42" s="27"/>
      <c r="U42" s="12"/>
      <c r="V42" s="54"/>
      <c r="W42" s="54"/>
      <c r="X42" s="54"/>
      <c r="Y42" s="28"/>
      <c r="Z42" s="28"/>
      <c r="AA42" s="28"/>
    </row>
    <row r="43" spans="1:27" ht="96" customHeight="1" thickBot="1" x14ac:dyDescent="0.3">
      <c r="A43" s="246"/>
      <c r="B43" s="338" t="s">
        <v>78</v>
      </c>
      <c r="C43" s="339"/>
      <c r="D43" s="339"/>
      <c r="E43" s="339"/>
      <c r="F43" s="339"/>
      <c r="G43" s="339"/>
      <c r="H43" s="339"/>
      <c r="I43" s="339"/>
      <c r="J43" s="339"/>
      <c r="K43" s="339"/>
      <c r="L43" s="339"/>
      <c r="M43" s="339"/>
      <c r="N43" s="339"/>
      <c r="O43" s="214"/>
      <c r="P43" s="34"/>
      <c r="Q43" s="8"/>
      <c r="R43" s="251"/>
      <c r="S43" s="8"/>
      <c r="T43" s="8"/>
      <c r="U43" s="8"/>
      <c r="V43" s="8"/>
      <c r="W43" s="8"/>
      <c r="X43" s="8"/>
      <c r="Y43" s="8"/>
      <c r="Z43" s="8"/>
      <c r="AA43" s="8"/>
    </row>
    <row r="44" spans="1:27" ht="32.450000000000003" customHeight="1" x14ac:dyDescent="0.25">
      <c r="A44" s="118" t="s">
        <v>75</v>
      </c>
      <c r="B44" s="119"/>
      <c r="C44" s="119"/>
      <c r="D44" s="119"/>
      <c r="E44" s="119"/>
      <c r="F44" s="119"/>
      <c r="G44" s="119"/>
      <c r="H44" s="119"/>
      <c r="I44" s="119"/>
      <c r="J44" s="120"/>
      <c r="K44" s="119"/>
      <c r="L44" s="120"/>
      <c r="M44" s="157"/>
      <c r="N44" s="157"/>
      <c r="O44" s="102"/>
      <c r="P44" s="102"/>
      <c r="Q44" s="119"/>
      <c r="R44" s="119"/>
      <c r="S44" s="119"/>
      <c r="T44" s="119"/>
      <c r="U44" s="119"/>
      <c r="V44" s="119"/>
      <c r="W44" s="119"/>
      <c r="X44" s="119"/>
      <c r="Y44" s="119"/>
      <c r="Z44" s="119"/>
      <c r="AA44" s="119"/>
    </row>
    <row r="45" spans="1:27" ht="32.450000000000003" customHeight="1" x14ac:dyDescent="0.25">
      <c r="A45" s="121"/>
      <c r="B45" s="119"/>
      <c r="C45" s="119"/>
      <c r="D45" s="119" t="s">
        <v>19</v>
      </c>
      <c r="E45" s="122" t="s">
        <v>20</v>
      </c>
      <c r="F45" s="122" t="s">
        <v>21</v>
      </c>
      <c r="G45" s="119"/>
      <c r="H45" s="71" t="s">
        <v>19</v>
      </c>
      <c r="I45" s="89" t="s">
        <v>20</v>
      </c>
      <c r="J45" s="89" t="s">
        <v>21</v>
      </c>
      <c r="K45" s="119"/>
      <c r="L45" s="120"/>
      <c r="M45" s="157"/>
      <c r="N45" s="164"/>
      <c r="O45" s="102"/>
      <c r="P45" s="157"/>
      <c r="Q45" s="119"/>
      <c r="R45" s="119"/>
      <c r="S45" s="122"/>
      <c r="T45" s="123"/>
      <c r="U45" s="119"/>
      <c r="V45" s="119"/>
      <c r="W45" s="119"/>
      <c r="X45" s="119"/>
      <c r="Y45" s="119"/>
      <c r="Z45" s="119"/>
      <c r="AA45" s="119"/>
    </row>
    <row r="46" spans="1:27" ht="32.450000000000003" customHeight="1" x14ac:dyDescent="0.25">
      <c r="A46" s="121"/>
      <c r="B46" s="119"/>
      <c r="C46" s="119"/>
      <c r="D46" s="120">
        <v>43230</v>
      </c>
      <c r="E46" s="122"/>
      <c r="F46" s="157"/>
      <c r="G46" s="119"/>
      <c r="H46" s="89" t="s">
        <v>146</v>
      </c>
      <c r="I46" s="157"/>
      <c r="J46" s="157"/>
      <c r="K46" s="119"/>
      <c r="L46" s="120"/>
      <c r="M46" s="157"/>
      <c r="N46" s="164"/>
      <c r="O46" s="102"/>
      <c r="P46" s="157"/>
      <c r="Q46" s="119"/>
      <c r="R46" s="119"/>
      <c r="S46" s="122"/>
      <c r="T46" s="123"/>
      <c r="U46" s="119"/>
      <c r="V46" s="119"/>
      <c r="W46" s="119"/>
      <c r="X46" s="119"/>
      <c r="Y46" s="119"/>
      <c r="Z46" s="119"/>
      <c r="AA46" s="119"/>
    </row>
    <row r="47" spans="1:27" ht="32.450000000000003" customHeight="1" x14ac:dyDescent="0.25">
      <c r="A47" s="121"/>
      <c r="B47" s="124"/>
      <c r="C47" s="124"/>
      <c r="D47" s="122" t="s">
        <v>86</v>
      </c>
      <c r="E47" s="90">
        <f>IF(((J19*$J$11)+$J$11)&gt;=$F$102,$J$11,IF(((J19*$J$11)+$J$11)&gt;$F$102,((J19*$J$11)+$J$11),((J19*$J$11)+$J$11)))</f>
        <v>0</v>
      </c>
      <c r="F47" s="157"/>
      <c r="G47" s="119"/>
      <c r="H47" s="89" t="s">
        <v>147</v>
      </c>
      <c r="I47" s="157"/>
      <c r="J47" s="157"/>
      <c r="K47" s="157"/>
      <c r="L47" s="157"/>
      <c r="M47" s="125"/>
      <c r="N47" s="157"/>
      <c r="O47" s="119"/>
      <c r="P47" s="119"/>
      <c r="Q47" s="119"/>
      <c r="R47" s="95"/>
      <c r="S47" s="119"/>
      <c r="T47" s="126"/>
      <c r="U47" s="119"/>
      <c r="V47" s="119"/>
      <c r="W47" s="119"/>
      <c r="X47" s="119"/>
      <c r="Y47" s="125"/>
      <c r="Z47" s="125"/>
      <c r="AA47" s="125"/>
    </row>
    <row r="48" spans="1:27" ht="32.450000000000003" customHeight="1" x14ac:dyDescent="0.25">
      <c r="A48" s="121"/>
      <c r="B48" s="124"/>
      <c r="C48" s="124"/>
      <c r="D48" s="95">
        <v>43595</v>
      </c>
      <c r="E48" s="119"/>
      <c r="F48" s="90">
        <f>E47*K19</f>
        <v>0</v>
      </c>
      <c r="G48" s="119"/>
      <c r="H48" s="89" t="s">
        <v>148</v>
      </c>
      <c r="I48" s="157"/>
      <c r="J48" s="157"/>
      <c r="K48" s="157"/>
      <c r="L48" s="157"/>
      <c r="M48" s="125"/>
      <c r="N48" s="157"/>
      <c r="O48" s="119"/>
      <c r="P48" s="119"/>
      <c r="Q48" s="119"/>
      <c r="R48" s="95"/>
      <c r="S48" s="119"/>
      <c r="T48" s="126"/>
      <c r="U48" s="119"/>
      <c r="V48" s="119"/>
      <c r="W48" s="119"/>
      <c r="X48" s="119"/>
      <c r="Y48" s="125"/>
      <c r="Z48" s="125"/>
      <c r="AA48" s="125"/>
    </row>
    <row r="49" spans="1:27" ht="69.599999999999994" customHeight="1" x14ac:dyDescent="0.25">
      <c r="A49" s="121"/>
      <c r="B49" s="119"/>
      <c r="C49" s="127"/>
      <c r="D49" s="122" t="s">
        <v>87</v>
      </c>
      <c r="E49" s="90">
        <f>IF(((J20*$J$11)+$J$11)&gt;=$F$102,$J$11,IF(((J20*$J$11)+$J$11)&gt;$F$102,((J20*$J$11)+$J$11),((J20*$J$11)+$J$11)))</f>
        <v>0</v>
      </c>
      <c r="F49" s="157"/>
      <c r="G49" s="119"/>
      <c r="H49" s="89" t="s">
        <v>149</v>
      </c>
      <c r="I49" s="157"/>
      <c r="J49" s="157"/>
      <c r="K49" s="157"/>
      <c r="L49" s="157"/>
      <c r="M49" s="125"/>
      <c r="N49" s="157"/>
      <c r="O49" s="120"/>
      <c r="P49" s="122"/>
      <c r="Q49" s="123"/>
      <c r="R49" s="157"/>
      <c r="S49" s="119"/>
      <c r="T49" s="126"/>
      <c r="U49" s="119"/>
      <c r="V49" s="119"/>
      <c r="W49" s="119"/>
      <c r="X49" s="119"/>
      <c r="Y49" s="128"/>
      <c r="Z49" s="128"/>
      <c r="AA49" s="128"/>
    </row>
    <row r="50" spans="1:27" ht="69.599999999999994" customHeight="1" x14ac:dyDescent="0.25">
      <c r="A50" s="121"/>
      <c r="B50" s="119"/>
      <c r="C50" s="127"/>
      <c r="D50" s="95">
        <v>43961</v>
      </c>
      <c r="E50" s="119"/>
      <c r="F50" s="90">
        <f>E49*K20</f>
        <v>0</v>
      </c>
      <c r="G50" s="119"/>
      <c r="H50" s="71"/>
      <c r="I50" s="71"/>
      <c r="J50" s="71"/>
      <c r="K50" s="157"/>
      <c r="L50" s="157"/>
      <c r="M50" s="125"/>
      <c r="N50" s="157"/>
      <c r="O50" s="120"/>
      <c r="P50" s="122"/>
      <c r="Q50" s="297"/>
      <c r="R50" s="157"/>
      <c r="S50" s="119"/>
      <c r="T50" s="126"/>
      <c r="U50" s="119"/>
      <c r="V50" s="119"/>
      <c r="W50" s="119"/>
      <c r="X50" s="119"/>
      <c r="Y50" s="128"/>
      <c r="Z50" s="128"/>
      <c r="AA50" s="128"/>
    </row>
    <row r="51" spans="1:27" ht="32.450000000000003" customHeight="1" x14ac:dyDescent="0.25">
      <c r="A51" s="121"/>
      <c r="B51" s="119"/>
      <c r="C51" s="127"/>
      <c r="D51" s="122" t="s">
        <v>88</v>
      </c>
      <c r="E51" s="90">
        <f>IF(((J21*$J$11)+$J$11)&gt;=$F$102,$J$11,IF(((J21*$J$11)+$J$11)&gt;$F$102,((J21*$J$11)+$J$11),((J21*$J$11)+$J$11)))</f>
        <v>0</v>
      </c>
      <c r="F51" s="157"/>
      <c r="G51" s="128"/>
      <c r="H51" s="98" t="s">
        <v>22</v>
      </c>
      <c r="I51" s="129" t="e">
        <f>SUM((L28/26.088/10*(NETWORKDAYS(F28,F30)))-(N8/26.088/10*(NETWORKDAYS(F28,F30))),(L30/26.088/10*(NETWORKDAYS(F30+1,F32-1)))-(E47/26.088/10*(NETWORKDAYS(F30+1,F32-1))),(L32/26.088/10*(NETWORKDAYS(F32,F33)))-(E47/26.088/10*(NETWORKDAYS(F32,F33))),(L33/26.088/10*(NETWORKDAYS(F33+1,F35-1)))-(E49/26.088/10*(NETWORKDAYS(F33+1,F35-1))),(L36/26.088/10*(NETWORKDAYS(F36,F37)))-(E49/26.088/10*(NETWORKDAYS(F36,F37))),(L37/26.088/10*(NETWORKDAYS(F37+1,F39-1)))-(E51/26.088/10*(NETWORKDAYS(F37+1,F39-1))),(L39/26.088/10*(NETWORKDAYS(F39,F40)))-(E51/26.088/10*(NETWORKDAYS(F39,F40))),(L40/26.088/10*(NETWORKDAYS(F40+1,F42)))-(E53/26.088/10*(NETWORKDAYS(F40+1,F42))))</f>
        <v>#NUM!</v>
      </c>
      <c r="J51" s="71"/>
      <c r="K51" s="128"/>
      <c r="L51" s="128"/>
      <c r="M51" s="128"/>
      <c r="N51" s="266"/>
      <c r="O51" s="119"/>
      <c r="P51" s="119"/>
      <c r="Q51" s="119"/>
      <c r="R51" s="122"/>
      <c r="S51" s="119"/>
      <c r="T51" s="119"/>
      <c r="U51" s="130"/>
      <c r="V51" s="130"/>
      <c r="W51" s="130"/>
      <c r="X51" s="128"/>
      <c r="Y51" s="128"/>
      <c r="Z51" s="132"/>
      <c r="AA51" s="128"/>
    </row>
    <row r="52" spans="1:27" ht="32.450000000000003" customHeight="1" x14ac:dyDescent="0.25">
      <c r="A52" s="121"/>
      <c r="B52" s="119"/>
      <c r="C52" s="127"/>
      <c r="D52" s="95">
        <v>44326</v>
      </c>
      <c r="E52" s="119"/>
      <c r="F52" s="90">
        <f>E51*K21</f>
        <v>0</v>
      </c>
      <c r="G52" s="128"/>
      <c r="H52" s="98" t="s">
        <v>145</v>
      </c>
      <c r="I52" s="131">
        <f>SUM(L31-F48,L34-F50,L38-F52,L41-F54)</f>
        <v>0</v>
      </c>
      <c r="J52" s="71"/>
      <c r="K52" s="128"/>
      <c r="L52" s="128"/>
      <c r="M52" s="128"/>
      <c r="N52" s="266"/>
      <c r="O52" s="119"/>
      <c r="P52" s="119"/>
      <c r="Q52" s="119"/>
      <c r="R52" s="122"/>
      <c r="S52" s="119"/>
      <c r="T52" s="119"/>
      <c r="U52" s="130"/>
      <c r="V52" s="130"/>
      <c r="W52" s="130"/>
      <c r="X52" s="128"/>
      <c r="Y52" s="128"/>
      <c r="Z52" s="132"/>
      <c r="AA52" s="128"/>
    </row>
    <row r="53" spans="1:27" ht="71.45" customHeight="1" x14ac:dyDescent="0.25">
      <c r="A53" s="156"/>
      <c r="B53" s="124"/>
      <c r="C53" s="124"/>
      <c r="D53" s="122" t="s">
        <v>89</v>
      </c>
      <c r="E53" s="90">
        <f>IF(((J22*$J$11)+$J$11)&gt;=$F$102,$J$11,IF(((J22*$J$11)+$J$11)&gt;$F$102,((J22*$J$11)+$J$11),((J22*$J$11)+$J$11)))</f>
        <v>0</v>
      </c>
      <c r="F53" s="157"/>
      <c r="G53" s="119"/>
      <c r="H53" s="120"/>
      <c r="I53" s="127"/>
      <c r="J53" s="119"/>
      <c r="K53" s="128"/>
      <c r="L53" s="128"/>
      <c r="M53" s="132"/>
      <c r="N53" s="157"/>
      <c r="O53" s="119"/>
      <c r="P53" s="119"/>
      <c r="Q53" s="298"/>
      <c r="R53" s="298"/>
      <c r="S53" s="119"/>
      <c r="T53" s="119"/>
      <c r="U53" s="119"/>
      <c r="V53" s="130"/>
      <c r="W53" s="130"/>
      <c r="X53" s="128"/>
      <c r="Y53" s="128"/>
      <c r="Z53" s="128"/>
      <c r="AA53" s="128"/>
    </row>
    <row r="54" spans="1:27" ht="32.450000000000003" customHeight="1" x14ac:dyDescent="0.25">
      <c r="A54" s="133"/>
      <c r="B54" s="127"/>
      <c r="C54" s="119"/>
      <c r="D54" s="95">
        <v>44691</v>
      </c>
      <c r="E54" s="119"/>
      <c r="F54" s="90">
        <f>E53*K22</f>
        <v>0</v>
      </c>
      <c r="G54" s="119"/>
      <c r="H54" s="134"/>
      <c r="I54" s="127"/>
      <c r="J54" s="119"/>
      <c r="K54" s="128"/>
      <c r="L54" s="132"/>
      <c r="M54" s="132"/>
      <c r="N54" s="157"/>
      <c r="O54" s="119"/>
      <c r="P54" s="119"/>
      <c r="Q54" s="299"/>
      <c r="R54" s="135"/>
      <c r="S54" s="119"/>
      <c r="T54" s="102"/>
      <c r="U54" s="102"/>
      <c r="V54" s="130"/>
      <c r="W54" s="136"/>
      <c r="X54" s="128"/>
      <c r="Y54" s="128"/>
      <c r="Z54" s="137"/>
      <c r="AA54" s="128"/>
    </row>
    <row r="55" spans="1:27" ht="32.450000000000003" customHeight="1" x14ac:dyDescent="0.25">
      <c r="A55" s="118" t="s">
        <v>77</v>
      </c>
      <c r="B55" s="127"/>
      <c r="C55" s="119"/>
      <c r="D55" s="122"/>
      <c r="E55" s="119"/>
      <c r="F55" s="157"/>
      <c r="G55" s="119"/>
      <c r="H55" s="134"/>
      <c r="I55" s="127"/>
      <c r="J55" s="119"/>
      <c r="K55" s="128"/>
      <c r="L55" s="132"/>
      <c r="M55" s="132"/>
      <c r="N55" s="157"/>
      <c r="O55" s="119"/>
      <c r="P55" s="119"/>
      <c r="Q55" s="299"/>
      <c r="R55" s="299"/>
      <c r="S55" s="119"/>
      <c r="T55" s="102"/>
      <c r="U55" s="102"/>
      <c r="V55" s="130"/>
      <c r="W55" s="136"/>
      <c r="X55" s="128"/>
      <c r="Y55" s="128"/>
      <c r="Z55" s="137"/>
      <c r="AA55" s="128"/>
    </row>
    <row r="56" spans="1:27" ht="97.9" customHeight="1" x14ac:dyDescent="0.25">
      <c r="A56" s="133"/>
      <c r="B56" s="127"/>
      <c r="C56" s="119"/>
      <c r="D56" s="122"/>
      <c r="E56" s="122">
        <v>2018</v>
      </c>
      <c r="F56" s="138" t="s">
        <v>34</v>
      </c>
      <c r="G56" s="267" t="s">
        <v>33</v>
      </c>
      <c r="H56" s="122" t="s">
        <v>35</v>
      </c>
      <c r="I56" s="267" t="s">
        <v>36</v>
      </c>
      <c r="J56" s="122" t="s">
        <v>37</v>
      </c>
      <c r="K56" s="267" t="s">
        <v>38</v>
      </c>
      <c r="L56" s="139"/>
      <c r="M56" s="122"/>
      <c r="N56" s="138"/>
      <c r="O56" s="267"/>
      <c r="P56" s="122"/>
      <c r="Q56" s="300"/>
      <c r="R56" s="122"/>
      <c r="S56" s="267"/>
      <c r="T56" s="119"/>
      <c r="U56" s="102"/>
      <c r="V56" s="130"/>
      <c r="W56" s="136"/>
      <c r="X56" s="128"/>
      <c r="Y56" s="128"/>
      <c r="Z56" s="137"/>
      <c r="AA56" s="128"/>
    </row>
    <row r="57" spans="1:27" ht="32.450000000000003" customHeight="1" x14ac:dyDescent="0.25">
      <c r="A57" s="133"/>
      <c r="B57" s="140"/>
      <c r="C57" s="140"/>
      <c r="D57" s="101" t="s">
        <v>22</v>
      </c>
      <c r="E57" s="102">
        <f>SUM((H28/26.088/10*(NETWORKDAYS(B28,D29)))-(J11/26.088/10*(NETWORKDAYS(B28,D29))),(H29/26.088/10*(NETWORKDAYS(D29+1,B31)))-(E47/26.088/10*(NETWORKDAYS(D29+1,B31))))</f>
        <v>0</v>
      </c>
      <c r="F57" s="102">
        <f>IF(J16&lt;=D32,SUM((H31/26.088/10*(NETWORKDAYS(B31,J16)))-(E47/26.088/10*(NETWORKDAYS(B31,J16)))),SUM((H31/26.088/10*(NETWORKDAYS(B31,D32)))-(E47/26.088/10*(NETWORKDAYS(B31,D32)))))</f>
        <v>0</v>
      </c>
      <c r="G57" s="102">
        <f>IF(AND(J16&lt;=D32)=TRUE,0,IF(AND(J16&gt;D32,J16&gt;B34),SUM((H32/26.088/10*(NETWORKDAYS(D32,B34)))-(E49/26.088/10*(NETWORKDAYS(D32,B34)))),SUM((H32/26.088/10*(NETWORKDAYS(D32,J16)))-(E49/26.088/10*(NETWORKDAYS(D32,J16))))))</f>
        <v>0</v>
      </c>
      <c r="H57" s="102">
        <f>IF(AND(J16&lt;=B34)=TRUE,0,IF(AND(J16&gt;B34,J16&gt;D35),SUM((H34/26.088/10*(NETWORKDAYS(B34,D35)))-(E51/26.088/10*(NETWORKDAYS(B34,D35)))),SUM((H34/26.088/10*(NETWORKDAYS(B34,J16)))-(E51/26.088/10*(NETWORKDAYS(B34,J16))))))</f>
        <v>0</v>
      </c>
      <c r="I57" s="301">
        <f>IF(AND(J16&lt;=D35)=TRUE,0,IF(AND(J16&gt;D35,J16&gt;B37),SUM((H35/26.088/10*(NETWORKDAYS(D35,B37)))-(E51/26.088/10*(NETWORKDAYS(D35,B37)))),SUM((H35/26.088/10*(NETWORKDAYS(D35,J16)))-(E51/26.088/10*(NETWORKDAYS(D35,J16))))))</f>
        <v>0</v>
      </c>
      <c r="J57" s="136">
        <f>IF(AND(J16&lt;=B37)=TRUE,0,IF(AND(J16&gt;B37,J16&gt;D38),SUM((H37/26.088/10*(NETWORKDAYS(B37,D38)))-(E51/26.088/10*(NETWORKDAYS(B37,D38)))),SUM((H37/26.088/10*(NETWORKDAYS(B37,J16)))-(E51/26.088/10*(NETWORKDAYS(B37,J16))))))</f>
        <v>0</v>
      </c>
      <c r="K57" s="136">
        <f>IF(AND(J16&lt;=D38)=TRUE,0,IF(AND(J16&gt;D38,J16&gt;B40),SUM((H38/26.088/10*(NETWORKDAYS(D38,B40)))-(E53/26.088/10*(NETWORKDAYS(D38,B40)))),SUM((H38/26.088/10*(NETWORKDAYS(D38,J16)))-(E53/26.088/10*(NETWORKDAYS(D38,J16))))))</f>
        <v>0</v>
      </c>
      <c r="L57" s="128"/>
      <c r="M57" s="302"/>
      <c r="N57" s="157"/>
      <c r="O57" s="119"/>
      <c r="P57" s="140"/>
      <c r="Q57" s="127"/>
      <c r="R57" s="299"/>
      <c r="S57" s="119"/>
      <c r="T57" s="126"/>
      <c r="U57" s="102"/>
      <c r="V57" s="130"/>
      <c r="W57" s="136"/>
      <c r="X57" s="128"/>
      <c r="Y57" s="128"/>
      <c r="Z57" s="137"/>
      <c r="AA57" s="128"/>
    </row>
    <row r="58" spans="1:27" ht="32.450000000000003" customHeight="1" x14ac:dyDescent="0.25">
      <c r="A58" s="133"/>
      <c r="B58" s="140"/>
      <c r="C58" s="140"/>
      <c r="D58" s="101" t="s">
        <v>39</v>
      </c>
      <c r="E58" s="102">
        <f>IF(E57&gt;0,H30-F48,0)</f>
        <v>0</v>
      </c>
      <c r="F58" s="102">
        <f>IF(OR(F57=0,G57=0)=TRUE,0,H33-F50)</f>
        <v>0</v>
      </c>
      <c r="G58" s="102"/>
      <c r="H58" s="102">
        <f>IF(OR(H57=0,I57=0)=TRUE,0,H36-F52)</f>
        <v>0</v>
      </c>
      <c r="I58" s="102"/>
      <c r="J58" s="102">
        <f>IF(OR(J57=0,K57=0)=TRUE,0,H39-F54)</f>
        <v>0</v>
      </c>
      <c r="K58" s="102"/>
      <c r="L58" s="128"/>
      <c r="M58" s="128"/>
      <c r="N58" s="157"/>
      <c r="O58" s="119"/>
      <c r="P58" s="140"/>
      <c r="Q58" s="127"/>
      <c r="R58" s="299"/>
      <c r="S58" s="119"/>
      <c r="T58" s="126"/>
      <c r="U58" s="102"/>
      <c r="V58" s="130"/>
      <c r="W58" s="136"/>
      <c r="X58" s="128"/>
      <c r="Y58" s="128"/>
      <c r="Z58" s="137"/>
      <c r="AA58" s="128"/>
    </row>
    <row r="59" spans="1:27" ht="32.450000000000003" customHeight="1" x14ac:dyDescent="0.25">
      <c r="A59" s="133"/>
      <c r="B59" s="140"/>
      <c r="C59" s="140"/>
      <c r="D59" s="101"/>
      <c r="E59" s="102"/>
      <c r="F59" s="102"/>
      <c r="G59" s="102"/>
      <c r="H59" s="102"/>
      <c r="I59" s="102"/>
      <c r="J59" s="102"/>
      <c r="K59" s="102"/>
      <c r="L59" s="128"/>
      <c r="M59" s="132"/>
      <c r="N59" s="157"/>
      <c r="O59" s="119"/>
      <c r="P59" s="140"/>
      <c r="Q59" s="127"/>
      <c r="R59" s="135"/>
      <c r="S59" s="119"/>
      <c r="T59" s="126"/>
      <c r="U59" s="102"/>
      <c r="V59" s="130"/>
      <c r="W59" s="136"/>
      <c r="X59" s="128"/>
      <c r="Y59" s="128"/>
      <c r="Z59" s="137"/>
      <c r="AA59" s="128"/>
    </row>
    <row r="60" spans="1:27" ht="32.450000000000003" customHeight="1" x14ac:dyDescent="0.25">
      <c r="A60" s="133"/>
      <c r="B60" s="127"/>
      <c r="C60" s="119"/>
      <c r="D60" s="101" t="s">
        <v>52</v>
      </c>
      <c r="E60" s="143">
        <f>SUM(E57:K57)</f>
        <v>0</v>
      </c>
      <c r="F60" s="119"/>
      <c r="G60" s="119"/>
      <c r="H60" s="127"/>
      <c r="I60" s="144"/>
      <c r="J60" s="120"/>
      <c r="K60" s="127"/>
      <c r="L60" s="120"/>
      <c r="M60" s="127"/>
      <c r="N60" s="268"/>
      <c r="O60" s="303"/>
      <c r="P60" s="127"/>
      <c r="Q60" s="145"/>
      <c r="R60" s="142"/>
      <c r="S60" s="146"/>
      <c r="T60" s="126"/>
      <c r="U60" s="102"/>
      <c r="V60" s="130"/>
      <c r="W60" s="136"/>
      <c r="X60" s="102"/>
      <c r="Y60" s="119"/>
      <c r="Z60" s="119"/>
      <c r="AA60" s="119"/>
    </row>
    <row r="61" spans="1:27" ht="40.15" customHeight="1" x14ac:dyDescent="0.25">
      <c r="A61" s="133"/>
      <c r="B61" s="127"/>
      <c r="C61" s="119"/>
      <c r="D61" s="101" t="s">
        <v>53</v>
      </c>
      <c r="E61" s="147">
        <f>SUM(E58:K58)</f>
        <v>0</v>
      </c>
      <c r="F61" s="148"/>
      <c r="G61" s="149"/>
      <c r="H61" s="119"/>
      <c r="I61" s="119"/>
      <c r="J61" s="119"/>
      <c r="K61" s="119"/>
      <c r="L61" s="119"/>
      <c r="M61" s="119"/>
      <c r="N61" s="157"/>
      <c r="O61" s="119"/>
      <c r="P61" s="120"/>
      <c r="Q61" s="145"/>
      <c r="R61" s="120"/>
      <c r="S61" s="146"/>
      <c r="T61" s="126"/>
      <c r="U61" s="126"/>
      <c r="V61" s="119"/>
      <c r="W61" s="150"/>
      <c r="X61" s="119"/>
      <c r="Y61" s="119"/>
      <c r="Z61" s="119"/>
      <c r="AA61" s="119"/>
    </row>
    <row r="62" spans="1:27" x14ac:dyDescent="0.25">
      <c r="A62" s="121"/>
      <c r="B62" s="119"/>
      <c r="C62" s="119"/>
      <c r="D62" s="119"/>
      <c r="E62" s="119"/>
      <c r="F62" s="119"/>
      <c r="G62" s="119"/>
      <c r="H62" s="119"/>
      <c r="I62" s="119"/>
      <c r="J62" s="119"/>
      <c r="K62" s="119"/>
      <c r="L62" s="119"/>
      <c r="M62" s="119"/>
      <c r="N62" s="157"/>
      <c r="O62" s="157"/>
      <c r="P62" s="269"/>
      <c r="Q62" s="157"/>
      <c r="R62" s="164"/>
      <c r="S62" s="166"/>
      <c r="T62" s="166"/>
      <c r="U62" s="166"/>
      <c r="V62" s="157"/>
      <c r="W62" s="166"/>
      <c r="X62" s="119"/>
      <c r="Y62" s="119"/>
      <c r="Z62" s="119"/>
      <c r="AA62" s="119"/>
    </row>
    <row r="63" spans="1:27" x14ac:dyDescent="0.25">
      <c r="A63" s="118" t="s">
        <v>73</v>
      </c>
      <c r="B63" s="119"/>
      <c r="C63" s="119"/>
      <c r="D63" s="119"/>
      <c r="E63" s="119"/>
      <c r="F63" s="119"/>
      <c r="G63" s="119"/>
      <c r="H63" s="119"/>
      <c r="I63" s="119"/>
      <c r="J63" s="119"/>
      <c r="K63" s="119"/>
      <c r="L63" s="119"/>
      <c r="M63" s="119"/>
      <c r="N63" s="157"/>
      <c r="O63" s="157"/>
      <c r="P63" s="164"/>
      <c r="Q63" s="157"/>
      <c r="R63" s="176"/>
      <c r="S63" s="166"/>
      <c r="T63" s="166"/>
      <c r="U63" s="166"/>
      <c r="V63" s="157"/>
      <c r="W63" s="166"/>
      <c r="X63" s="119"/>
      <c r="Y63" s="119"/>
      <c r="Z63" s="119"/>
      <c r="AA63" s="119"/>
    </row>
    <row r="64" spans="1:27" ht="15" x14ac:dyDescent="0.25">
      <c r="A64" s="71"/>
      <c r="B64" s="116" t="s">
        <v>141</v>
      </c>
      <c r="C64" s="157"/>
      <c r="D64" s="151" t="s">
        <v>29</v>
      </c>
      <c r="E64" s="116"/>
      <c r="F64" s="116"/>
      <c r="G64" s="157"/>
      <c r="H64" s="111"/>
      <c r="I64" s="111"/>
      <c r="J64" s="111"/>
      <c r="K64" s="111"/>
      <c r="L64" s="152"/>
      <c r="M64" s="152"/>
      <c r="N64" s="152"/>
      <c r="O64" s="178"/>
      <c r="P64" s="178"/>
      <c r="Q64" s="178"/>
      <c r="R64" s="178"/>
      <c r="S64" s="178"/>
      <c r="T64" s="178"/>
      <c r="U64" s="178"/>
      <c r="V64" s="178"/>
      <c r="W64" s="178"/>
      <c r="X64" s="157"/>
      <c r="Y64" s="157"/>
      <c r="Z64" s="157"/>
      <c r="AA64" s="157"/>
    </row>
    <row r="65" spans="1:27" ht="15" x14ac:dyDescent="0.25">
      <c r="A65" s="71"/>
      <c r="B65" s="116"/>
      <c r="C65" s="116"/>
      <c r="D65" s="116"/>
      <c r="E65" s="116" t="s">
        <v>137</v>
      </c>
      <c r="F65" s="116"/>
      <c r="G65" s="157"/>
      <c r="H65" s="111"/>
      <c r="I65" s="111"/>
      <c r="J65" s="111"/>
      <c r="K65" s="111"/>
      <c r="L65" s="152"/>
      <c r="M65" s="152"/>
      <c r="N65" s="152"/>
      <c r="O65" s="178"/>
      <c r="P65" s="178"/>
      <c r="Q65" s="178"/>
      <c r="R65" s="178"/>
      <c r="S65" s="178"/>
      <c r="T65" s="178"/>
      <c r="U65" s="178"/>
      <c r="V65" s="178"/>
      <c r="W65" s="178"/>
      <c r="X65" s="157"/>
      <c r="Y65" s="157"/>
      <c r="Z65" s="157"/>
      <c r="AA65" s="157"/>
    </row>
    <row r="66" spans="1:27" ht="15" x14ac:dyDescent="0.25">
      <c r="A66" s="71"/>
      <c r="B66" s="116" t="s">
        <v>0</v>
      </c>
      <c r="C66" s="106" t="s">
        <v>1</v>
      </c>
      <c r="D66" s="116">
        <v>144710</v>
      </c>
      <c r="E66" s="116" t="s">
        <v>130</v>
      </c>
      <c r="F66" s="116">
        <v>183819</v>
      </c>
      <c r="G66" s="157"/>
      <c r="H66" s="111"/>
      <c r="I66" s="111"/>
      <c r="J66" s="111"/>
      <c r="K66" s="111"/>
      <c r="L66" s="152"/>
      <c r="M66" s="152"/>
      <c r="N66" s="152"/>
      <c r="O66" s="178"/>
      <c r="P66" s="178"/>
      <c r="Q66" s="178"/>
      <c r="R66" s="178"/>
      <c r="S66" s="178"/>
      <c r="T66" s="178"/>
      <c r="U66" s="178"/>
      <c r="V66" s="178"/>
      <c r="W66" s="178"/>
      <c r="X66" s="157"/>
      <c r="Y66" s="157"/>
      <c r="Z66" s="157"/>
      <c r="AA66" s="157"/>
    </row>
    <row r="67" spans="1:27" ht="15" x14ac:dyDescent="0.25">
      <c r="A67" s="71"/>
      <c r="B67" s="116" t="s">
        <v>138</v>
      </c>
      <c r="C67" s="106" t="s">
        <v>23</v>
      </c>
      <c r="D67" s="111">
        <f>SUM(((D66*2%)+D66),((D66*2%)+D66)*0.8%)</f>
        <v>148785.03360000002</v>
      </c>
      <c r="E67" s="116" t="s">
        <v>130</v>
      </c>
      <c r="F67" s="111">
        <f>SUM(((F66*2%)+F66),((F66*2%)+F66)*0.8%)</f>
        <v>188995.34304000001</v>
      </c>
      <c r="G67" s="157"/>
      <c r="H67" s="111"/>
      <c r="I67" s="111"/>
      <c r="J67" s="111"/>
      <c r="K67" s="111"/>
      <c r="L67" s="152"/>
      <c r="M67" s="152"/>
      <c r="N67" s="152"/>
      <c r="O67" s="178"/>
      <c r="P67" s="178"/>
      <c r="Q67" s="178"/>
      <c r="R67" s="178"/>
      <c r="S67" s="178"/>
      <c r="T67" s="178"/>
      <c r="U67" s="178"/>
      <c r="V67" s="178"/>
      <c r="W67" s="178"/>
      <c r="X67" s="157"/>
      <c r="Y67" s="157"/>
      <c r="Z67" s="157"/>
      <c r="AA67" s="157"/>
    </row>
    <row r="68" spans="1:27" ht="15" x14ac:dyDescent="0.25">
      <c r="A68" s="71"/>
      <c r="B68" s="116"/>
      <c r="C68" s="106" t="s">
        <v>24</v>
      </c>
      <c r="D68" s="111">
        <f>SUM(((D67*2%)+D67),((D67*2%)+D67)*0.2%)</f>
        <v>152064.25574054403</v>
      </c>
      <c r="E68" s="116" t="s">
        <v>130</v>
      </c>
      <c r="F68" s="111">
        <f>SUM(((F67*2%)+F67),((F67*2%)+F67)*0.2%)</f>
        <v>193160.80040060161</v>
      </c>
      <c r="G68" s="157"/>
      <c r="H68" s="111"/>
      <c r="I68" s="111"/>
      <c r="J68" s="111"/>
      <c r="K68" s="111"/>
      <c r="L68" s="152"/>
      <c r="M68" s="152"/>
      <c r="N68" s="152"/>
      <c r="O68" s="178"/>
      <c r="P68" s="178"/>
      <c r="Q68" s="178"/>
      <c r="R68" s="178"/>
      <c r="S68" s="178"/>
      <c r="T68" s="178"/>
      <c r="U68" s="178"/>
      <c r="V68" s="178"/>
      <c r="W68" s="178"/>
      <c r="X68" s="157"/>
      <c r="Y68" s="157"/>
      <c r="Z68" s="157"/>
      <c r="AA68" s="157"/>
    </row>
    <row r="69" spans="1:27" ht="15" x14ac:dyDescent="0.25">
      <c r="A69" s="71"/>
      <c r="B69" s="116"/>
      <c r="C69" s="106"/>
      <c r="D69" s="111"/>
      <c r="E69" s="116"/>
      <c r="F69" s="111"/>
      <c r="G69" s="157"/>
      <c r="H69" s="111"/>
      <c r="I69" s="111"/>
      <c r="J69" s="111"/>
      <c r="K69" s="111"/>
      <c r="L69" s="152"/>
      <c r="M69" s="152"/>
      <c r="N69" s="152"/>
      <c r="O69" s="178"/>
      <c r="P69" s="178"/>
      <c r="Q69" s="178"/>
      <c r="R69" s="178"/>
      <c r="S69" s="178"/>
      <c r="T69" s="178"/>
      <c r="U69" s="178"/>
      <c r="V69" s="178"/>
      <c r="W69" s="178"/>
      <c r="X69" s="157"/>
      <c r="Y69" s="157"/>
      <c r="Z69" s="157"/>
      <c r="AA69" s="157"/>
    </row>
    <row r="70" spans="1:27" ht="15" x14ac:dyDescent="0.25">
      <c r="A70" s="71"/>
      <c r="B70" s="116"/>
      <c r="C70" s="106" t="s">
        <v>26</v>
      </c>
      <c r="D70" s="111">
        <f>SUM(((D68*1.5%)+D68))</f>
        <v>154345.21957665219</v>
      </c>
      <c r="E70" s="116" t="s">
        <v>130</v>
      </c>
      <c r="F70" s="111">
        <f>SUM(((F68*1.5%)+F68))</f>
        <v>196058.21240661063</v>
      </c>
      <c r="G70" s="157"/>
      <c r="H70" s="111"/>
      <c r="I70" s="111"/>
      <c r="J70" s="111"/>
      <c r="K70" s="111"/>
      <c r="L70" s="152"/>
      <c r="M70" s="152"/>
      <c r="N70" s="152"/>
      <c r="O70" s="178"/>
      <c r="P70" s="178"/>
      <c r="Q70" s="178"/>
      <c r="R70" s="178"/>
      <c r="S70" s="178"/>
      <c r="T70" s="178"/>
      <c r="U70" s="178"/>
      <c r="V70" s="178"/>
      <c r="W70" s="178"/>
      <c r="X70" s="157"/>
      <c r="Y70" s="157"/>
      <c r="Z70" s="157"/>
      <c r="AA70" s="157"/>
    </row>
    <row r="71" spans="1:27" ht="15" x14ac:dyDescent="0.25">
      <c r="A71" s="71"/>
      <c r="B71" s="116"/>
      <c r="C71" s="106" t="s">
        <v>27</v>
      </c>
      <c r="D71" s="111">
        <f>SUM(((D70*1.5%)+D70))</f>
        <v>156660.39787030197</v>
      </c>
      <c r="E71" s="116" t="s">
        <v>130</v>
      </c>
      <c r="F71" s="111">
        <f>SUM(((F70*1.5%)+F70))</f>
        <v>198999.0855927098</v>
      </c>
      <c r="G71" s="157"/>
      <c r="H71" s="111"/>
      <c r="I71" s="111"/>
      <c r="J71" s="111"/>
      <c r="K71" s="111"/>
      <c r="L71" s="152"/>
      <c r="M71" s="152"/>
      <c r="N71" s="152"/>
      <c r="O71" s="178"/>
      <c r="P71" s="178"/>
      <c r="Q71" s="178"/>
      <c r="R71" s="178"/>
      <c r="S71" s="178"/>
      <c r="T71" s="178"/>
      <c r="U71" s="178"/>
      <c r="V71" s="178"/>
      <c r="W71" s="178"/>
      <c r="X71" s="157"/>
      <c r="Y71" s="157"/>
      <c r="Z71" s="157"/>
      <c r="AA71" s="157"/>
    </row>
    <row r="72" spans="1:27" ht="15" x14ac:dyDescent="0.25">
      <c r="A72" s="71"/>
      <c r="B72" s="116"/>
      <c r="C72" s="116"/>
      <c r="D72" s="116"/>
      <c r="E72" s="116"/>
      <c r="F72" s="116"/>
      <c r="G72" s="157"/>
      <c r="H72" s="111"/>
      <c r="I72" s="111"/>
      <c r="J72" s="111"/>
      <c r="K72" s="111"/>
      <c r="L72" s="152"/>
      <c r="M72" s="152"/>
      <c r="N72" s="152"/>
      <c r="O72" s="178"/>
      <c r="P72" s="178"/>
      <c r="Q72" s="178"/>
      <c r="R72" s="178"/>
      <c r="S72" s="178"/>
      <c r="T72" s="178"/>
      <c r="U72" s="178"/>
      <c r="V72" s="178"/>
      <c r="W72" s="178"/>
      <c r="X72" s="157"/>
      <c r="Y72" s="157"/>
      <c r="Z72" s="157"/>
      <c r="AA72" s="157"/>
    </row>
    <row r="73" spans="1:27" ht="15" x14ac:dyDescent="0.25">
      <c r="A73" s="71"/>
      <c r="B73" s="116" t="s">
        <v>139</v>
      </c>
      <c r="C73" s="116"/>
      <c r="D73" s="151"/>
      <c r="E73" s="116"/>
      <c r="F73" s="116"/>
      <c r="G73" s="157"/>
      <c r="H73" s="111"/>
      <c r="I73" s="111"/>
      <c r="J73" s="111"/>
      <c r="K73" s="111"/>
      <c r="L73" s="152"/>
      <c r="M73" s="152"/>
      <c r="N73" s="152"/>
      <c r="O73" s="178"/>
      <c r="P73" s="178"/>
      <c r="Q73" s="178"/>
      <c r="R73" s="178"/>
      <c r="S73" s="178"/>
      <c r="T73" s="178"/>
      <c r="U73" s="178"/>
      <c r="V73" s="178"/>
      <c r="W73" s="178"/>
      <c r="X73" s="157"/>
      <c r="Y73" s="157"/>
      <c r="Z73" s="157"/>
      <c r="AA73" s="157"/>
    </row>
    <row r="74" spans="1:27" ht="15" x14ac:dyDescent="0.25">
      <c r="A74" s="71"/>
      <c r="B74" s="116"/>
      <c r="C74" s="116"/>
      <c r="D74" s="116"/>
      <c r="E74" s="116"/>
      <c r="F74" s="116"/>
      <c r="G74" s="157"/>
      <c r="H74" s="111"/>
      <c r="I74" s="111"/>
      <c r="J74" s="111"/>
      <c r="K74" s="111"/>
      <c r="L74" s="152"/>
      <c r="M74" s="152"/>
      <c r="N74" s="152"/>
      <c r="O74" s="178"/>
      <c r="P74" s="178"/>
      <c r="Q74" s="178"/>
      <c r="R74" s="178"/>
      <c r="S74" s="178"/>
      <c r="T74" s="178"/>
      <c r="U74" s="178"/>
      <c r="V74" s="178"/>
      <c r="W74" s="178"/>
      <c r="X74" s="157"/>
      <c r="Y74" s="157"/>
      <c r="Z74" s="157"/>
      <c r="AA74" s="157"/>
    </row>
    <row r="75" spans="1:27" ht="15" x14ac:dyDescent="0.25">
      <c r="A75" s="71"/>
      <c r="B75" s="116" t="s">
        <v>0</v>
      </c>
      <c r="C75" s="106" t="s">
        <v>1</v>
      </c>
      <c r="D75" s="116">
        <v>153205</v>
      </c>
      <c r="E75" s="116" t="s">
        <v>130</v>
      </c>
      <c r="F75" s="116">
        <v>199732</v>
      </c>
      <c r="G75" s="157"/>
      <c r="H75" s="111"/>
      <c r="I75" s="111"/>
      <c r="J75" s="111"/>
      <c r="K75" s="111"/>
      <c r="L75" s="152"/>
      <c r="M75" s="152"/>
      <c r="N75" s="152"/>
      <c r="O75" s="178"/>
      <c r="P75" s="178"/>
      <c r="Q75" s="178"/>
      <c r="R75" s="178"/>
      <c r="S75" s="178"/>
      <c r="T75" s="178"/>
      <c r="U75" s="178"/>
      <c r="V75" s="178"/>
      <c r="W75" s="178"/>
      <c r="X75" s="157"/>
      <c r="Y75" s="157"/>
      <c r="Z75" s="157"/>
      <c r="AA75" s="157"/>
    </row>
    <row r="76" spans="1:27" ht="15" x14ac:dyDescent="0.25">
      <c r="A76" s="71"/>
      <c r="B76" s="116" t="s">
        <v>138</v>
      </c>
      <c r="C76" s="106" t="s">
        <v>23</v>
      </c>
      <c r="D76" s="111">
        <f>SUM(((D75*2%)+D75),((D75*2%)+D75)*0.8%)</f>
        <v>157519.25280000002</v>
      </c>
      <c r="E76" s="116" t="s">
        <v>130</v>
      </c>
      <c r="F76" s="111">
        <f>SUM(((F75*2%)+F75),((F75*2%)+F75)*0.8%)</f>
        <v>205356.45312000002</v>
      </c>
      <c r="G76" s="157"/>
      <c r="H76" s="111"/>
      <c r="I76" s="111"/>
      <c r="J76" s="111"/>
      <c r="K76" s="111"/>
      <c r="L76" s="152"/>
      <c r="M76" s="152"/>
      <c r="N76" s="152"/>
      <c r="O76" s="178"/>
      <c r="P76" s="178"/>
      <c r="Q76" s="178"/>
      <c r="R76" s="178"/>
      <c r="S76" s="178"/>
      <c r="T76" s="178"/>
      <c r="U76" s="178"/>
      <c r="V76" s="178"/>
      <c r="W76" s="178"/>
      <c r="X76" s="157"/>
      <c r="Y76" s="157"/>
      <c r="Z76" s="157"/>
      <c r="AA76" s="157"/>
    </row>
    <row r="77" spans="1:27" ht="15" x14ac:dyDescent="0.25">
      <c r="A77" s="71"/>
      <c r="B77" s="116"/>
      <c r="C77" s="106" t="s">
        <v>24</v>
      </c>
      <c r="D77" s="111">
        <f>SUM(((D76*2%)+D76),((D76*2%)+D76)*0.2%)</f>
        <v>160990.97713171202</v>
      </c>
      <c r="E77" s="116" t="s">
        <v>130</v>
      </c>
      <c r="F77" s="111">
        <f>SUM(((F76*2%)+F76),((F76*2%)+F76)*0.2%)</f>
        <v>209882.50934676483</v>
      </c>
      <c r="G77" s="157"/>
      <c r="H77" s="111"/>
      <c r="I77" s="111"/>
      <c r="J77" s="111"/>
      <c r="K77" s="111"/>
      <c r="L77" s="152"/>
      <c r="M77" s="152"/>
      <c r="N77" s="152"/>
      <c r="O77" s="178"/>
      <c r="P77" s="178"/>
      <c r="Q77" s="178"/>
      <c r="R77" s="178"/>
      <c r="S77" s="178"/>
      <c r="T77" s="178"/>
      <c r="U77" s="178"/>
      <c r="V77" s="178"/>
      <c r="W77" s="178"/>
      <c r="X77" s="157"/>
      <c r="Y77" s="157"/>
      <c r="Z77" s="157"/>
      <c r="AA77" s="157"/>
    </row>
    <row r="78" spans="1:27" ht="15" x14ac:dyDescent="0.25">
      <c r="A78" s="71"/>
      <c r="B78" s="116"/>
      <c r="C78" s="106"/>
      <c r="D78" s="111"/>
      <c r="E78" s="116"/>
      <c r="F78" s="111"/>
      <c r="G78" s="157"/>
      <c r="H78" s="111"/>
      <c r="I78" s="111"/>
      <c r="J78" s="111"/>
      <c r="K78" s="111"/>
      <c r="L78" s="152"/>
      <c r="M78" s="152"/>
      <c r="N78" s="152"/>
      <c r="O78" s="178"/>
      <c r="P78" s="178"/>
      <c r="Q78" s="178"/>
      <c r="R78" s="178"/>
      <c r="S78" s="178"/>
      <c r="T78" s="178"/>
      <c r="U78" s="178"/>
      <c r="V78" s="178"/>
      <c r="W78" s="178"/>
      <c r="X78" s="157"/>
      <c r="Y78" s="157"/>
      <c r="Z78" s="157"/>
      <c r="AA78" s="157"/>
    </row>
    <row r="79" spans="1:27" ht="15" x14ac:dyDescent="0.25">
      <c r="A79" s="71"/>
      <c r="B79" s="116"/>
      <c r="C79" s="106" t="s">
        <v>26</v>
      </c>
      <c r="D79" s="111">
        <f>SUM(((D77*1.5%)+D77))</f>
        <v>163405.84178868769</v>
      </c>
      <c r="E79" s="116" t="s">
        <v>130</v>
      </c>
      <c r="F79" s="111">
        <f>SUM(((F77*1.5%)+F77))</f>
        <v>213030.74698696629</v>
      </c>
      <c r="G79" s="157"/>
      <c r="H79" s="111"/>
      <c r="I79" s="111"/>
      <c r="J79" s="111"/>
      <c r="K79" s="111"/>
      <c r="L79" s="152"/>
      <c r="M79" s="152"/>
      <c r="N79" s="152"/>
      <c r="O79" s="178"/>
      <c r="P79" s="178"/>
      <c r="Q79" s="178"/>
      <c r="R79" s="178"/>
      <c r="S79" s="178"/>
      <c r="T79" s="178"/>
      <c r="U79" s="178"/>
      <c r="V79" s="178"/>
      <c r="W79" s="178"/>
      <c r="X79" s="157"/>
      <c r="Y79" s="157"/>
      <c r="Z79" s="157"/>
      <c r="AA79" s="157"/>
    </row>
    <row r="80" spans="1:27" ht="15" x14ac:dyDescent="0.25">
      <c r="A80" s="71"/>
      <c r="B80" s="116"/>
      <c r="C80" s="106" t="s">
        <v>27</v>
      </c>
      <c r="D80" s="111">
        <f>SUM(((D79*1.5%)+D79))</f>
        <v>165856.92941551801</v>
      </c>
      <c r="E80" s="116" t="s">
        <v>130</v>
      </c>
      <c r="F80" s="111">
        <f>SUM(((F79*1.5%)+F79))</f>
        <v>216226.20819177077</v>
      </c>
      <c r="G80" s="157"/>
      <c r="H80" s="111"/>
      <c r="I80" s="111"/>
      <c r="J80" s="111"/>
      <c r="K80" s="111"/>
      <c r="L80" s="152"/>
      <c r="M80" s="152"/>
      <c r="N80" s="152"/>
      <c r="O80" s="178"/>
      <c r="P80" s="178"/>
      <c r="Q80" s="178"/>
      <c r="R80" s="178"/>
      <c r="S80" s="178"/>
      <c r="T80" s="178"/>
      <c r="U80" s="178"/>
      <c r="V80" s="178"/>
      <c r="W80" s="178"/>
      <c r="X80" s="157"/>
      <c r="Y80" s="157"/>
      <c r="Z80" s="157"/>
      <c r="AA80" s="157"/>
    </row>
    <row r="81" spans="1:27" ht="15" x14ac:dyDescent="0.25">
      <c r="A81" s="71"/>
      <c r="B81" s="116"/>
      <c r="C81" s="116"/>
      <c r="D81" s="116"/>
      <c r="E81" s="116"/>
      <c r="F81" s="116"/>
      <c r="G81" s="157"/>
      <c r="H81" s="111"/>
      <c r="I81" s="111"/>
      <c r="J81" s="111"/>
      <c r="K81" s="111"/>
      <c r="L81" s="152"/>
      <c r="M81" s="152"/>
      <c r="N81" s="152"/>
      <c r="O81" s="178"/>
      <c r="P81" s="178"/>
      <c r="Q81" s="178"/>
      <c r="R81" s="178"/>
      <c r="S81" s="178"/>
      <c r="T81" s="178"/>
      <c r="U81" s="178"/>
      <c r="V81" s="178"/>
      <c r="W81" s="178"/>
      <c r="X81" s="157"/>
      <c r="Y81" s="157"/>
      <c r="Z81" s="157"/>
      <c r="AA81" s="157"/>
    </row>
    <row r="82" spans="1:27" ht="15" x14ac:dyDescent="0.25">
      <c r="A82" s="71"/>
      <c r="B82" s="116" t="s">
        <v>142</v>
      </c>
      <c r="C82" s="116"/>
      <c r="D82" s="116"/>
      <c r="E82" s="116"/>
      <c r="F82" s="116"/>
      <c r="G82" s="157"/>
      <c r="H82" s="111"/>
      <c r="I82" s="111"/>
      <c r="J82" s="111"/>
      <c r="K82" s="111"/>
      <c r="L82" s="152"/>
      <c r="M82" s="152"/>
      <c r="N82" s="152"/>
      <c r="O82" s="178"/>
      <c r="P82" s="178"/>
      <c r="Q82" s="178"/>
      <c r="R82" s="178"/>
      <c r="S82" s="178"/>
      <c r="T82" s="178"/>
      <c r="U82" s="178"/>
      <c r="V82" s="178"/>
      <c r="W82" s="178"/>
      <c r="X82" s="157"/>
      <c r="Y82" s="157"/>
      <c r="Z82" s="157"/>
      <c r="AA82" s="157"/>
    </row>
    <row r="83" spans="1:27" ht="15" x14ac:dyDescent="0.25">
      <c r="A83" s="71"/>
      <c r="B83" s="116"/>
      <c r="C83" s="116"/>
      <c r="D83" s="116"/>
      <c r="E83" s="116" t="s">
        <v>137</v>
      </c>
      <c r="F83" s="116"/>
      <c r="G83" s="157"/>
      <c r="H83" s="111"/>
      <c r="I83" s="111"/>
      <c r="J83" s="111"/>
      <c r="K83" s="111"/>
      <c r="L83" s="152"/>
      <c r="M83" s="152"/>
      <c r="N83" s="152"/>
      <c r="O83" s="178"/>
      <c r="P83" s="178"/>
      <c r="Q83" s="178"/>
      <c r="R83" s="178"/>
      <c r="S83" s="178"/>
      <c r="T83" s="178"/>
      <c r="U83" s="178"/>
      <c r="V83" s="178"/>
      <c r="W83" s="178"/>
      <c r="X83" s="157"/>
      <c r="Y83" s="157"/>
      <c r="Z83" s="157"/>
      <c r="AA83" s="157"/>
    </row>
    <row r="84" spans="1:27" ht="15" x14ac:dyDescent="0.25">
      <c r="A84" s="71"/>
      <c r="B84" s="116" t="s">
        <v>0</v>
      </c>
      <c r="C84" s="106" t="s">
        <v>1</v>
      </c>
      <c r="D84" s="116">
        <v>167770</v>
      </c>
      <c r="E84" s="116" t="s">
        <v>130</v>
      </c>
      <c r="F84" s="116">
        <v>205260</v>
      </c>
      <c r="G84" s="157"/>
      <c r="H84" s="111"/>
      <c r="I84" s="111"/>
      <c r="J84" s="111"/>
      <c r="K84" s="111"/>
      <c r="L84" s="152"/>
      <c r="M84" s="152"/>
      <c r="N84" s="152"/>
      <c r="O84" s="178"/>
      <c r="P84" s="178"/>
      <c r="Q84" s="178"/>
      <c r="R84" s="178"/>
      <c r="S84" s="178"/>
      <c r="T84" s="178"/>
      <c r="U84" s="178"/>
      <c r="V84" s="178"/>
      <c r="W84" s="178"/>
      <c r="X84" s="157"/>
      <c r="Y84" s="157"/>
      <c r="Z84" s="157"/>
      <c r="AA84" s="157"/>
    </row>
    <row r="85" spans="1:27" ht="15" x14ac:dyDescent="0.25">
      <c r="A85" s="71"/>
      <c r="B85" s="116" t="s">
        <v>138</v>
      </c>
      <c r="C85" s="106" t="s">
        <v>23</v>
      </c>
      <c r="D85" s="111">
        <f>SUM(((D84*2%)+D84),((D84*2%)+D84)*0.8%)</f>
        <v>172494.4032</v>
      </c>
      <c r="E85" s="116" t="s">
        <v>130</v>
      </c>
      <c r="F85" s="111">
        <f>SUM(((F84*2%)+F84),((F84*2%)+F84)*0.8%)</f>
        <v>211040.12160000001</v>
      </c>
      <c r="G85" s="157"/>
      <c r="H85" s="111"/>
      <c r="I85" s="111"/>
      <c r="J85" s="111"/>
      <c r="K85" s="111"/>
      <c r="L85" s="152"/>
      <c r="M85" s="152"/>
      <c r="N85" s="152"/>
      <c r="O85" s="178"/>
      <c r="P85" s="178"/>
      <c r="Q85" s="178"/>
      <c r="R85" s="178"/>
      <c r="S85" s="178"/>
      <c r="T85" s="178"/>
      <c r="U85" s="178"/>
      <c r="V85" s="178"/>
      <c r="W85" s="178"/>
      <c r="X85" s="157"/>
      <c r="Y85" s="157"/>
      <c r="Z85" s="157"/>
      <c r="AA85" s="157"/>
    </row>
    <row r="86" spans="1:27" ht="15" x14ac:dyDescent="0.25">
      <c r="A86" s="71"/>
      <c r="B86" s="116"/>
      <c r="C86" s="106" t="s">
        <v>24</v>
      </c>
      <c r="D86" s="111">
        <f>SUM(((D85*2%)+D85),((D85*2%)+D85)*0.2%)</f>
        <v>176296.17984652799</v>
      </c>
      <c r="E86" s="116" t="s">
        <v>130</v>
      </c>
      <c r="F86" s="111">
        <f>SUM(((F85*2%)+F85),((F85*2%)+F85)*0.2%)</f>
        <v>215691.44588006401</v>
      </c>
      <c r="G86" s="157"/>
      <c r="H86" s="111"/>
      <c r="I86" s="111"/>
      <c r="J86" s="111"/>
      <c r="K86" s="111"/>
      <c r="L86" s="152"/>
      <c r="M86" s="152"/>
      <c r="N86" s="152"/>
      <c r="O86" s="178"/>
      <c r="P86" s="178"/>
      <c r="Q86" s="178"/>
      <c r="R86" s="178"/>
      <c r="S86" s="178"/>
      <c r="T86" s="178"/>
      <c r="U86" s="178"/>
      <c r="V86" s="178"/>
      <c r="W86" s="178"/>
      <c r="X86" s="157"/>
      <c r="Y86" s="157"/>
      <c r="Z86" s="157"/>
      <c r="AA86" s="157"/>
    </row>
    <row r="87" spans="1:27" ht="15" x14ac:dyDescent="0.25">
      <c r="A87" s="71"/>
      <c r="B87" s="116"/>
      <c r="C87" s="106"/>
      <c r="D87" s="111"/>
      <c r="E87" s="116"/>
      <c r="F87" s="111"/>
      <c r="G87" s="157"/>
      <c r="H87" s="111"/>
      <c r="I87" s="111"/>
      <c r="J87" s="111"/>
      <c r="K87" s="111"/>
      <c r="L87" s="152"/>
      <c r="M87" s="152"/>
      <c r="N87" s="152"/>
      <c r="O87" s="178"/>
      <c r="P87" s="178"/>
      <c r="Q87" s="178"/>
      <c r="R87" s="178"/>
      <c r="S87" s="178"/>
      <c r="T87" s="178"/>
      <c r="U87" s="178"/>
      <c r="V87" s="178"/>
      <c r="W87" s="178"/>
      <c r="X87" s="157"/>
      <c r="Y87" s="157"/>
      <c r="Z87" s="157"/>
      <c r="AA87" s="157"/>
    </row>
    <row r="88" spans="1:27" ht="15" x14ac:dyDescent="0.25">
      <c r="A88" s="71"/>
      <c r="B88" s="116"/>
      <c r="C88" s="106" t="s">
        <v>26</v>
      </c>
      <c r="D88" s="111">
        <f>SUM(((D86*1.5%)+D86))</f>
        <v>178940.62254422592</v>
      </c>
      <c r="E88" s="116" t="s">
        <v>130</v>
      </c>
      <c r="F88" s="111">
        <f>SUM(((F86*1.5%)+F86))</f>
        <v>218926.81756826496</v>
      </c>
      <c r="G88" s="157"/>
      <c r="H88" s="111"/>
      <c r="I88" s="111"/>
      <c r="J88" s="111"/>
      <c r="K88" s="111"/>
      <c r="L88" s="152"/>
      <c r="M88" s="152"/>
      <c r="N88" s="152"/>
      <c r="O88" s="178"/>
      <c r="P88" s="178"/>
      <c r="Q88" s="178"/>
      <c r="R88" s="178"/>
      <c r="S88" s="178"/>
      <c r="T88" s="178"/>
      <c r="U88" s="178"/>
      <c r="V88" s="178"/>
      <c r="W88" s="178"/>
      <c r="X88" s="157"/>
      <c r="Y88" s="157"/>
      <c r="Z88" s="157"/>
      <c r="AA88" s="157"/>
    </row>
    <row r="89" spans="1:27" ht="15" x14ac:dyDescent="0.25">
      <c r="A89" s="71"/>
      <c r="B89" s="116"/>
      <c r="C89" s="106" t="s">
        <v>27</v>
      </c>
      <c r="D89" s="111">
        <f>SUM(((D88*1.5%)+D88))</f>
        <v>181624.73188238931</v>
      </c>
      <c r="E89" s="116" t="s">
        <v>130</v>
      </c>
      <c r="F89" s="111">
        <f>SUM(((F88*1.5%)+F88))</f>
        <v>222210.71983178894</v>
      </c>
      <c r="G89" s="157"/>
      <c r="H89" s="111"/>
      <c r="I89" s="111"/>
      <c r="J89" s="111"/>
      <c r="K89" s="111"/>
      <c r="L89" s="152"/>
      <c r="M89" s="152"/>
      <c r="N89" s="152"/>
      <c r="O89" s="178"/>
      <c r="P89" s="178"/>
      <c r="Q89" s="178"/>
      <c r="R89" s="178"/>
      <c r="S89" s="178"/>
      <c r="T89" s="178"/>
      <c r="U89" s="178"/>
      <c r="V89" s="178"/>
      <c r="W89" s="178"/>
      <c r="X89" s="157"/>
      <c r="Y89" s="157"/>
      <c r="Z89" s="157"/>
      <c r="AA89" s="157"/>
    </row>
    <row r="90" spans="1:27" ht="15" x14ac:dyDescent="0.25">
      <c r="A90" s="71"/>
      <c r="B90" s="116"/>
      <c r="C90" s="116"/>
      <c r="D90" s="116"/>
      <c r="E90" s="116"/>
      <c r="F90" s="116"/>
      <c r="G90" s="157"/>
      <c r="H90" s="111"/>
      <c r="I90" s="111"/>
      <c r="J90" s="111"/>
      <c r="K90" s="111"/>
      <c r="L90" s="152"/>
      <c r="M90" s="152"/>
      <c r="N90" s="152"/>
      <c r="O90" s="178"/>
      <c r="P90" s="178"/>
      <c r="Q90" s="178"/>
      <c r="R90" s="178"/>
      <c r="S90" s="178"/>
      <c r="T90" s="178"/>
      <c r="U90" s="178"/>
      <c r="V90" s="178"/>
      <c r="W90" s="178"/>
      <c r="X90" s="157"/>
      <c r="Y90" s="157"/>
      <c r="Z90" s="157"/>
      <c r="AA90" s="157"/>
    </row>
    <row r="91" spans="1:27" ht="15" x14ac:dyDescent="0.25">
      <c r="A91" s="71"/>
      <c r="B91" s="116" t="s">
        <v>140</v>
      </c>
      <c r="C91" s="116"/>
      <c r="D91" s="116"/>
      <c r="E91" s="116"/>
      <c r="F91" s="116"/>
      <c r="G91" s="157"/>
      <c r="H91" s="111"/>
      <c r="I91" s="111"/>
      <c r="J91" s="111"/>
      <c r="K91" s="111"/>
      <c r="L91" s="152"/>
      <c r="M91" s="152"/>
      <c r="N91" s="152"/>
      <c r="O91" s="178"/>
      <c r="P91" s="178"/>
      <c r="Q91" s="178"/>
      <c r="R91" s="178"/>
      <c r="S91" s="178"/>
      <c r="T91" s="178"/>
      <c r="U91" s="178"/>
      <c r="V91" s="178"/>
      <c r="W91" s="178"/>
      <c r="X91" s="157"/>
      <c r="Y91" s="157"/>
      <c r="Z91" s="157"/>
      <c r="AA91" s="157"/>
    </row>
    <row r="92" spans="1:27" ht="15" x14ac:dyDescent="0.25">
      <c r="A92" s="71"/>
      <c r="B92" s="116"/>
      <c r="C92" s="116"/>
      <c r="D92" s="116"/>
      <c r="E92" s="116"/>
      <c r="F92" s="116"/>
      <c r="G92" s="157"/>
      <c r="H92" s="111"/>
      <c r="I92" s="111"/>
      <c r="J92" s="111"/>
      <c r="K92" s="111"/>
      <c r="L92" s="152"/>
      <c r="M92" s="152"/>
      <c r="N92" s="152"/>
      <c r="O92" s="178"/>
      <c r="P92" s="178"/>
      <c r="Q92" s="178"/>
      <c r="R92" s="178"/>
      <c r="S92" s="178"/>
      <c r="T92" s="178"/>
      <c r="U92" s="178"/>
      <c r="V92" s="178"/>
      <c r="W92" s="178"/>
      <c r="X92" s="157"/>
      <c r="Y92" s="157"/>
      <c r="Z92" s="157"/>
      <c r="AA92" s="157"/>
    </row>
    <row r="93" spans="1:27" ht="15" x14ac:dyDescent="0.25">
      <c r="A93" s="71"/>
      <c r="B93" s="116" t="s">
        <v>0</v>
      </c>
      <c r="C93" s="106" t="s">
        <v>1</v>
      </c>
      <c r="D93" s="116">
        <v>167770</v>
      </c>
      <c r="E93" s="116" t="s">
        <v>130</v>
      </c>
      <c r="F93" s="116">
        <v>205260</v>
      </c>
      <c r="G93" s="157"/>
      <c r="H93" s="111"/>
      <c r="I93" s="111"/>
      <c r="J93" s="111"/>
      <c r="K93" s="111"/>
      <c r="L93" s="152"/>
      <c r="M93" s="152"/>
      <c r="N93" s="152"/>
      <c r="O93" s="178"/>
      <c r="P93" s="178"/>
      <c r="Q93" s="178"/>
      <c r="R93" s="178"/>
      <c r="S93" s="178"/>
      <c r="T93" s="178"/>
      <c r="U93" s="178"/>
      <c r="V93" s="178"/>
      <c r="W93" s="178"/>
      <c r="X93" s="157"/>
      <c r="Y93" s="157"/>
      <c r="Z93" s="157"/>
      <c r="AA93" s="157"/>
    </row>
    <row r="94" spans="1:27" ht="15" x14ac:dyDescent="0.25">
      <c r="A94" s="71"/>
      <c r="B94" s="116" t="s">
        <v>138</v>
      </c>
      <c r="C94" s="106" t="s">
        <v>23</v>
      </c>
      <c r="D94" s="111">
        <f>SUM(((D93*2%)+D93),((D93*2%)+D93)*0.8%)</f>
        <v>172494.4032</v>
      </c>
      <c r="E94" s="116" t="s">
        <v>130</v>
      </c>
      <c r="F94" s="111">
        <f>SUM(((F93*2%)+F93),((F93*2%)+F93)*0.8%)</f>
        <v>211040.12160000001</v>
      </c>
      <c r="G94" s="157"/>
      <c r="H94" s="111"/>
      <c r="I94" s="111"/>
      <c r="J94" s="111"/>
      <c r="K94" s="111"/>
      <c r="L94" s="152"/>
      <c r="M94" s="152"/>
      <c r="N94" s="152"/>
      <c r="O94" s="178"/>
      <c r="P94" s="178"/>
      <c r="Q94" s="178"/>
      <c r="R94" s="178"/>
      <c r="S94" s="178"/>
      <c r="T94" s="178"/>
      <c r="U94" s="178"/>
      <c r="V94" s="178"/>
      <c r="W94" s="178"/>
      <c r="X94" s="157"/>
      <c r="Y94" s="157"/>
      <c r="Z94" s="157"/>
      <c r="AA94" s="157"/>
    </row>
    <row r="95" spans="1:27" ht="15" x14ac:dyDescent="0.25">
      <c r="A95" s="71"/>
      <c r="B95" s="116"/>
      <c r="C95" s="106" t="s">
        <v>24</v>
      </c>
      <c r="D95" s="111">
        <f>SUM(((D94*2%)+D94),((D94*2%)+D94)*0.2%)</f>
        <v>176296.17984652799</v>
      </c>
      <c r="E95" s="116" t="s">
        <v>130</v>
      </c>
      <c r="F95" s="111">
        <f>SUM(((F94*2%)+F94),((F94*2%)+F94)*0.2%)</f>
        <v>215691.44588006401</v>
      </c>
      <c r="G95" s="157"/>
      <c r="H95" s="111"/>
      <c r="I95" s="111"/>
      <c r="J95" s="111"/>
      <c r="K95" s="111"/>
      <c r="L95" s="152"/>
      <c r="M95" s="152"/>
      <c r="N95" s="152"/>
      <c r="O95" s="178"/>
      <c r="P95" s="178"/>
      <c r="Q95" s="178"/>
      <c r="R95" s="178"/>
      <c r="S95" s="178"/>
      <c r="T95" s="178"/>
      <c r="U95" s="178"/>
      <c r="V95" s="178"/>
      <c r="W95" s="178"/>
      <c r="X95" s="157"/>
      <c r="Y95" s="157"/>
      <c r="Z95" s="157"/>
      <c r="AA95" s="157"/>
    </row>
    <row r="96" spans="1:27" ht="15" x14ac:dyDescent="0.25">
      <c r="A96" s="71"/>
      <c r="B96" s="116"/>
      <c r="C96" s="106"/>
      <c r="D96" s="111"/>
      <c r="E96" s="116"/>
      <c r="F96" s="111"/>
      <c r="G96" s="157"/>
      <c r="H96" s="111"/>
      <c r="I96" s="111"/>
      <c r="J96" s="111"/>
      <c r="K96" s="111"/>
      <c r="L96" s="152"/>
      <c r="M96" s="152"/>
      <c r="N96" s="152"/>
      <c r="O96" s="178"/>
      <c r="P96" s="178"/>
      <c r="Q96" s="178"/>
      <c r="R96" s="178"/>
      <c r="S96" s="178"/>
      <c r="T96" s="178"/>
      <c r="U96" s="178"/>
      <c r="V96" s="178"/>
      <c r="W96" s="178"/>
      <c r="X96" s="157"/>
      <c r="Y96" s="157"/>
      <c r="Z96" s="157"/>
      <c r="AA96" s="157"/>
    </row>
    <row r="97" spans="1:27" ht="15" x14ac:dyDescent="0.25">
      <c r="A97" s="71"/>
      <c r="B97" s="116"/>
      <c r="C97" s="106" t="s">
        <v>26</v>
      </c>
      <c r="D97" s="111">
        <f>SUM(((D95*1.5%)+D95))</f>
        <v>178940.62254422592</v>
      </c>
      <c r="E97" s="116" t="s">
        <v>130</v>
      </c>
      <c r="F97" s="111">
        <f>SUM(((F95*1.5%)+F95))</f>
        <v>218926.81756826496</v>
      </c>
      <c r="G97" s="157"/>
      <c r="H97" s="111"/>
      <c r="I97" s="111"/>
      <c r="J97" s="111"/>
      <c r="K97" s="111"/>
      <c r="L97" s="152"/>
      <c r="M97" s="152"/>
      <c r="N97" s="152"/>
      <c r="O97" s="178"/>
      <c r="P97" s="178"/>
      <c r="Q97" s="178"/>
      <c r="R97" s="178"/>
      <c r="S97" s="178"/>
      <c r="T97" s="178"/>
      <c r="U97" s="178"/>
      <c r="V97" s="178"/>
      <c r="W97" s="178"/>
      <c r="X97" s="157"/>
      <c r="Y97" s="157"/>
      <c r="Z97" s="157"/>
      <c r="AA97" s="157"/>
    </row>
    <row r="98" spans="1:27" ht="15" x14ac:dyDescent="0.25">
      <c r="A98" s="71"/>
      <c r="B98" s="116"/>
      <c r="C98" s="106" t="s">
        <v>27</v>
      </c>
      <c r="D98" s="111">
        <f>SUM(((D97*1.5%)+D97))</f>
        <v>181624.73188238931</v>
      </c>
      <c r="E98" s="116" t="s">
        <v>130</v>
      </c>
      <c r="F98" s="111">
        <f>SUM(((F97*1.5%)+F97))</f>
        <v>222210.71983178894</v>
      </c>
      <c r="G98" s="157"/>
      <c r="H98" s="111"/>
      <c r="I98" s="111"/>
      <c r="J98" s="111"/>
      <c r="K98" s="111"/>
      <c r="L98" s="152"/>
      <c r="M98" s="152"/>
      <c r="N98" s="152"/>
      <c r="O98" s="178"/>
      <c r="P98" s="178"/>
      <c r="Q98" s="178"/>
      <c r="R98" s="178"/>
      <c r="S98" s="178"/>
      <c r="T98" s="178"/>
      <c r="U98" s="178"/>
      <c r="V98" s="178"/>
      <c r="W98" s="178"/>
      <c r="X98" s="157"/>
      <c r="Y98" s="157"/>
      <c r="Z98" s="157"/>
      <c r="AA98" s="157"/>
    </row>
    <row r="99" spans="1:27" ht="15" x14ac:dyDescent="0.25">
      <c r="A99" s="71"/>
      <c r="B99" s="110"/>
      <c r="C99" s="106"/>
      <c r="D99" s="111"/>
      <c r="E99" s="111"/>
      <c r="F99" s="111"/>
      <c r="G99" s="111"/>
      <c r="H99" s="111"/>
      <c r="I99" s="111"/>
      <c r="J99" s="111"/>
      <c r="K99" s="111"/>
      <c r="L99" s="152"/>
      <c r="M99" s="152"/>
      <c r="N99" s="152"/>
      <c r="O99" s="178"/>
      <c r="P99" s="178"/>
      <c r="Q99" s="178"/>
      <c r="R99" s="178"/>
      <c r="S99" s="178"/>
      <c r="T99" s="178"/>
      <c r="U99" s="178"/>
      <c r="V99" s="178"/>
      <c r="W99" s="178"/>
      <c r="X99" s="157"/>
      <c r="Y99" s="157"/>
      <c r="Z99" s="157"/>
      <c r="AA99" s="157"/>
    </row>
    <row r="100" spans="1:27" x14ac:dyDescent="0.25">
      <c r="A100" s="118" t="s">
        <v>74</v>
      </c>
      <c r="B100" s="119"/>
      <c r="C100" s="119"/>
      <c r="D100" s="119"/>
      <c r="E100" s="119"/>
      <c r="F100" s="119"/>
      <c r="G100" s="119"/>
      <c r="H100" s="119"/>
      <c r="I100" s="119"/>
      <c r="J100" s="119"/>
      <c r="K100" s="119"/>
      <c r="L100" s="119"/>
      <c r="M100" s="119"/>
      <c r="N100" s="157"/>
      <c r="O100" s="157"/>
      <c r="P100" s="157"/>
      <c r="Q100" s="157"/>
      <c r="R100" s="157"/>
      <c r="S100" s="157"/>
      <c r="T100" s="157"/>
      <c r="U100" s="157"/>
      <c r="V100" s="157"/>
      <c r="W100" s="157"/>
      <c r="X100" s="157"/>
      <c r="Y100" s="157"/>
      <c r="Z100" s="157"/>
      <c r="AA100" s="157"/>
    </row>
    <row r="101" spans="1:27" x14ac:dyDescent="0.25">
      <c r="A101" s="156"/>
      <c r="B101" s="119"/>
      <c r="C101" s="119"/>
      <c r="D101" s="153"/>
      <c r="E101" s="153"/>
      <c r="F101" s="153"/>
      <c r="G101" s="153"/>
      <c r="H101" s="153"/>
      <c r="I101" s="153"/>
      <c r="J101" s="153"/>
      <c r="K101" s="153"/>
      <c r="L101" s="119"/>
      <c r="M101" s="119"/>
      <c r="N101" s="119"/>
      <c r="O101" s="157"/>
      <c r="P101" s="157"/>
      <c r="Q101" s="157"/>
      <c r="R101" s="157"/>
      <c r="S101" s="157"/>
      <c r="T101" s="157"/>
      <c r="U101" s="157"/>
      <c r="V101" s="157"/>
      <c r="W101" s="157"/>
      <c r="X101" s="157"/>
      <c r="Y101" s="157"/>
      <c r="Z101" s="157"/>
      <c r="AA101" s="157"/>
    </row>
    <row r="102" spans="1:27" x14ac:dyDescent="0.25">
      <c r="A102" s="121"/>
      <c r="B102" s="119"/>
      <c r="C102" s="151" t="s">
        <v>1</v>
      </c>
      <c r="D102" s="116">
        <f>IF($I$4="Select",0,IF($I$4=$B$64,D66,IF($I$4=$B$73,D75,IF($I$4=$B$82,D84,IF($I$4=$B$91,D93)))))</f>
        <v>144710</v>
      </c>
      <c r="E102" s="154" t="s">
        <v>130</v>
      </c>
      <c r="F102" s="116">
        <f>IF($I$4="Select",0,IF($I$4=$B$64,F66,IF($I$4=$B$73,F75,IF($I$4=$B$82,F84,IF($I$4=$B$91,F93)))))</f>
        <v>183819</v>
      </c>
      <c r="G102" s="126"/>
      <c r="H102" s="126"/>
      <c r="I102" s="126"/>
      <c r="J102" s="126"/>
      <c r="K102" s="126"/>
      <c r="L102" s="126"/>
      <c r="M102" s="126"/>
      <c r="N102" s="126"/>
      <c r="O102" s="157"/>
      <c r="P102" s="157"/>
      <c r="Q102" s="157"/>
      <c r="R102" s="157"/>
      <c r="S102" s="157"/>
      <c r="T102" s="157"/>
      <c r="U102" s="157"/>
      <c r="V102" s="157"/>
      <c r="W102" s="157"/>
      <c r="X102" s="157"/>
      <c r="Y102" s="157"/>
      <c r="Z102" s="157"/>
      <c r="AA102" s="157"/>
    </row>
    <row r="103" spans="1:27" x14ac:dyDescent="0.25">
      <c r="A103" s="121"/>
      <c r="B103" s="119"/>
      <c r="C103" s="151" t="s">
        <v>23</v>
      </c>
      <c r="D103" s="155">
        <f>IF($I$4="Select",0,IF($I$4=$B$64,D67,IF($I$4=$B$73,D76,IF($I$4=$B$82,D85,IF($I$4=$B$91,D94)))))</f>
        <v>148785.03360000002</v>
      </c>
      <c r="E103" s="111" t="s">
        <v>130</v>
      </c>
      <c r="F103" s="155">
        <f t="shared" ref="F103:F107" si="0">IF($I$4="Select",0,IF($I$4=$B$64,F67,IF($I$4=$B$73,F76,IF($I$4=$B$82,F85,IF($I$4=$B$91,F94)))))</f>
        <v>188995.34304000001</v>
      </c>
      <c r="G103" s="126"/>
      <c r="H103" s="126"/>
      <c r="I103" s="126"/>
      <c r="J103" s="126"/>
      <c r="K103" s="126"/>
      <c r="L103" s="126"/>
      <c r="M103" s="126"/>
      <c r="N103" s="126"/>
      <c r="O103" s="157"/>
      <c r="P103" s="157"/>
      <c r="Q103" s="157"/>
      <c r="R103" s="157"/>
      <c r="S103" s="157"/>
      <c r="T103" s="157"/>
      <c r="U103" s="157"/>
      <c r="V103" s="157"/>
      <c r="W103" s="157"/>
      <c r="X103" s="157"/>
      <c r="Y103" s="157"/>
      <c r="Z103" s="157"/>
      <c r="AA103" s="157"/>
    </row>
    <row r="104" spans="1:27" x14ac:dyDescent="0.25">
      <c r="A104" s="121"/>
      <c r="B104" s="119"/>
      <c r="C104" s="151" t="s">
        <v>24</v>
      </c>
      <c r="D104" s="155">
        <f t="shared" ref="D104:D107" si="1">IF($I$4="Select",0,IF($I$4=$B$64,D68,IF($I$4=$B$73,D77,IF($I$4=$B$82,D86,IF($I$4=$B$91,D95)))))</f>
        <v>152064.25574054403</v>
      </c>
      <c r="E104" s="111" t="s">
        <v>130</v>
      </c>
      <c r="F104" s="155">
        <f t="shared" si="0"/>
        <v>193160.80040060161</v>
      </c>
      <c r="G104" s="126"/>
      <c r="H104" s="126"/>
      <c r="I104" s="126"/>
      <c r="J104" s="126"/>
      <c r="K104" s="126"/>
      <c r="L104" s="126"/>
      <c r="M104" s="126"/>
      <c r="N104" s="126"/>
      <c r="O104" s="157"/>
      <c r="P104" s="157"/>
      <c r="Q104" s="157"/>
      <c r="R104" s="157"/>
      <c r="S104" s="157"/>
      <c r="T104" s="157"/>
      <c r="U104" s="157"/>
      <c r="V104" s="157"/>
      <c r="W104" s="157"/>
      <c r="X104" s="157"/>
      <c r="Y104" s="157"/>
      <c r="Z104" s="157"/>
      <c r="AA104" s="157"/>
    </row>
    <row r="105" spans="1:27" x14ac:dyDescent="0.25">
      <c r="A105" s="121"/>
      <c r="B105" s="119"/>
      <c r="C105" s="151"/>
      <c r="D105" s="155"/>
      <c r="E105" s="111"/>
      <c r="F105" s="155"/>
      <c r="G105" s="126"/>
      <c r="H105" s="126"/>
      <c r="I105" s="126"/>
      <c r="J105" s="126"/>
      <c r="K105" s="126"/>
      <c r="L105" s="126"/>
      <c r="M105" s="126"/>
      <c r="N105" s="126"/>
      <c r="O105" s="157"/>
      <c r="P105" s="157"/>
      <c r="Q105" s="157"/>
      <c r="R105" s="157"/>
      <c r="S105" s="157"/>
      <c r="T105" s="157"/>
      <c r="U105" s="157"/>
      <c r="V105" s="157"/>
      <c r="W105" s="157"/>
      <c r="X105" s="157"/>
      <c r="Y105" s="157"/>
      <c r="Z105" s="157"/>
      <c r="AA105" s="157"/>
    </row>
    <row r="106" spans="1:27" x14ac:dyDescent="0.25">
      <c r="A106" s="121"/>
      <c r="B106" s="119"/>
      <c r="C106" s="151" t="s">
        <v>26</v>
      </c>
      <c r="D106" s="155">
        <f t="shared" si="1"/>
        <v>154345.21957665219</v>
      </c>
      <c r="E106" s="111" t="s">
        <v>130</v>
      </c>
      <c r="F106" s="155">
        <f t="shared" si="0"/>
        <v>196058.21240661063</v>
      </c>
      <c r="G106" s="126"/>
      <c r="H106" s="126"/>
      <c r="I106" s="126"/>
      <c r="J106" s="126"/>
      <c r="K106" s="126"/>
      <c r="L106" s="126"/>
      <c r="M106" s="126"/>
      <c r="N106" s="126"/>
      <c r="O106" s="157"/>
      <c r="P106" s="157"/>
      <c r="Q106" s="157"/>
      <c r="R106" s="157"/>
      <c r="S106" s="157"/>
      <c r="T106" s="157"/>
      <c r="U106" s="157"/>
      <c r="V106" s="157"/>
      <c r="W106" s="157"/>
      <c r="X106" s="157"/>
      <c r="Y106" s="157"/>
      <c r="Z106" s="157"/>
      <c r="AA106" s="157"/>
    </row>
    <row r="107" spans="1:27" x14ac:dyDescent="0.25">
      <c r="A107" s="156"/>
      <c r="B107" s="157"/>
      <c r="C107" s="151" t="s">
        <v>27</v>
      </c>
      <c r="D107" s="155">
        <f t="shared" si="1"/>
        <v>156660.39787030197</v>
      </c>
      <c r="E107" s="111" t="s">
        <v>130</v>
      </c>
      <c r="F107" s="155">
        <f t="shared" si="0"/>
        <v>198999.0855927098</v>
      </c>
      <c r="G107" s="126"/>
      <c r="H107" s="126"/>
      <c r="I107" s="126"/>
      <c r="J107" s="126"/>
      <c r="K107" s="126"/>
      <c r="L107" s="126"/>
      <c r="M107" s="126"/>
      <c r="N107" s="126"/>
      <c r="O107" s="157"/>
      <c r="P107" s="157"/>
      <c r="Q107" s="157"/>
      <c r="R107" s="157"/>
      <c r="S107" s="157"/>
      <c r="T107" s="157"/>
      <c r="U107" s="157"/>
      <c r="V107" s="157"/>
      <c r="W107" s="157"/>
      <c r="X107" s="157"/>
      <c r="Y107" s="157"/>
      <c r="Z107" s="157"/>
      <c r="AA107" s="157"/>
    </row>
    <row r="108" spans="1:27" x14ac:dyDescent="0.25">
      <c r="A108" s="156"/>
      <c r="B108" s="157"/>
      <c r="C108" s="123"/>
      <c r="D108" s="126"/>
      <c r="E108" s="126"/>
      <c r="F108" s="126"/>
      <c r="G108" s="126"/>
      <c r="H108" s="126"/>
      <c r="I108" s="126"/>
      <c r="J108" s="126"/>
      <c r="K108" s="126"/>
      <c r="L108" s="126"/>
      <c r="M108" s="126"/>
      <c r="N108" s="126"/>
      <c r="O108" s="157"/>
      <c r="P108" s="157"/>
      <c r="Q108" s="157"/>
      <c r="R108" s="157"/>
      <c r="S108" s="157"/>
      <c r="T108" s="157"/>
      <c r="U108" s="157"/>
      <c r="V108" s="157"/>
      <c r="W108" s="157"/>
      <c r="X108" s="157"/>
      <c r="Y108" s="157"/>
      <c r="Z108" s="157"/>
      <c r="AA108" s="157"/>
    </row>
    <row r="109" spans="1:27" x14ac:dyDescent="0.25">
      <c r="A109" s="156"/>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row>
    <row r="110" spans="1:27" x14ac:dyDescent="0.25">
      <c r="A110" s="156"/>
      <c r="B110" s="157"/>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row>
    <row r="111" spans="1:27" x14ac:dyDescent="0.25">
      <c r="A111" s="156"/>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row>
    <row r="112" spans="1:27" x14ac:dyDescent="0.25">
      <c r="A112" s="156"/>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row>
    <row r="113" spans="1:27" x14ac:dyDescent="0.25">
      <c r="A113" s="156"/>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row>
    <row r="114" spans="1:27" x14ac:dyDescent="0.25">
      <c r="A114" s="156"/>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row>
    <row r="115" spans="1:27" x14ac:dyDescent="0.25">
      <c r="A115" s="156"/>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row>
    <row r="116" spans="1:27" x14ac:dyDescent="0.25">
      <c r="A116" s="156"/>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row>
    <row r="117" spans="1:27" x14ac:dyDescent="0.25">
      <c r="A117" s="156"/>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row>
    <row r="118" spans="1:27" x14ac:dyDescent="0.25">
      <c r="A118" s="156"/>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row>
    <row r="119" spans="1:27" x14ac:dyDescent="0.25">
      <c r="A119" s="156"/>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row>
    <row r="120" spans="1:27" x14ac:dyDescent="0.25">
      <c r="A120" s="156"/>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row>
    <row r="121" spans="1:27" x14ac:dyDescent="0.25">
      <c r="A121" s="156"/>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row>
    <row r="122" spans="1:27" x14ac:dyDescent="0.25">
      <c r="A122" s="156"/>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row>
    <row r="123" spans="1:27" x14ac:dyDescent="0.25">
      <c r="A123" s="156"/>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row>
    <row r="124" spans="1:27" x14ac:dyDescent="0.25">
      <c r="A124" s="156"/>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row>
    <row r="125" spans="1:27" x14ac:dyDescent="0.25">
      <c r="A125" s="156"/>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row>
    <row r="126" spans="1:27" x14ac:dyDescent="0.25">
      <c r="A126" s="156"/>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row>
    <row r="127" spans="1:27" x14ac:dyDescent="0.25">
      <c r="A127" s="156"/>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row>
    <row r="128" spans="1:27" x14ac:dyDescent="0.25">
      <c r="A128" s="156"/>
      <c r="B128" s="119"/>
      <c r="C128" s="123"/>
      <c r="D128" s="126"/>
      <c r="E128" s="126"/>
      <c r="F128" s="126"/>
      <c r="G128" s="126"/>
      <c r="H128" s="126"/>
      <c r="I128" s="126"/>
      <c r="J128" s="126"/>
      <c r="K128" s="126"/>
      <c r="L128" s="126"/>
      <c r="M128" s="126"/>
      <c r="N128" s="166"/>
      <c r="O128" s="157"/>
      <c r="P128" s="157"/>
      <c r="Q128" s="157"/>
      <c r="R128" s="157"/>
      <c r="S128" s="157"/>
      <c r="T128" s="157"/>
      <c r="U128" s="157"/>
      <c r="V128" s="157"/>
      <c r="W128" s="157"/>
      <c r="X128" s="157"/>
      <c r="Y128" s="157"/>
      <c r="Z128" s="157"/>
      <c r="AA128" s="157"/>
    </row>
  </sheetData>
  <sheetProtection algorithmName="SHA-512" hashValue="lHshCniPQzp80xXk8Hx2i0WQUFrgkpzof+CntqOt3p8ib6JGe1oIz/qqhEbGh9qZlSDCeDHVQinnyKKVYXZGmw==" saltValue="vEFXDOU9gPY654yo+qaH9g==" spinCount="100000" sheet="1" objects="1" scenarios="1"/>
  <mergeCells count="69">
    <mergeCell ref="B1:N1"/>
    <mergeCell ref="B2:N2"/>
    <mergeCell ref="B4:H4"/>
    <mergeCell ref="I4:J4"/>
    <mergeCell ref="B11:I11"/>
    <mergeCell ref="F7:J7"/>
    <mergeCell ref="B13:G14"/>
    <mergeCell ref="H13:I13"/>
    <mergeCell ref="H14:I14"/>
    <mergeCell ref="B16:I16"/>
    <mergeCell ref="B19:G20"/>
    <mergeCell ref="H19:I19"/>
    <mergeCell ref="H20:I20"/>
    <mergeCell ref="H21:I21"/>
    <mergeCell ref="H22:I22"/>
    <mergeCell ref="D24:I24"/>
    <mergeCell ref="B26:N26"/>
    <mergeCell ref="D28:G28"/>
    <mergeCell ref="H28:I28"/>
    <mergeCell ref="J28:M28"/>
    <mergeCell ref="P28:Q28"/>
    <mergeCell ref="R28:U28"/>
    <mergeCell ref="V28:W28"/>
    <mergeCell ref="X28:AA28"/>
    <mergeCell ref="B29:C29"/>
    <mergeCell ref="E29:G29"/>
    <mergeCell ref="H29:I29"/>
    <mergeCell ref="P29:R29"/>
    <mergeCell ref="S29:U29"/>
    <mergeCell ref="V29:W29"/>
    <mergeCell ref="I30:K30"/>
    <mergeCell ref="W30:Y30"/>
    <mergeCell ref="D31:G31"/>
    <mergeCell ref="H31:I31"/>
    <mergeCell ref="P31:Q31"/>
    <mergeCell ref="R31:U31"/>
    <mergeCell ref="V31:W31"/>
    <mergeCell ref="D34:G34"/>
    <mergeCell ref="H34:I34"/>
    <mergeCell ref="P34:Q34"/>
    <mergeCell ref="R34:U34"/>
    <mergeCell ref="V34:W34"/>
    <mergeCell ref="B32:C32"/>
    <mergeCell ref="E32:G32"/>
    <mergeCell ref="H32:I32"/>
    <mergeCell ref="I33:K33"/>
    <mergeCell ref="W33:Y33"/>
    <mergeCell ref="D37:G37"/>
    <mergeCell ref="H37:I37"/>
    <mergeCell ref="V37:W37"/>
    <mergeCell ref="B35:C35"/>
    <mergeCell ref="E35:G35"/>
    <mergeCell ref="H35:I35"/>
    <mergeCell ref="J35:M35"/>
    <mergeCell ref="P35:R35"/>
    <mergeCell ref="S35:U35"/>
    <mergeCell ref="V38:W38"/>
    <mergeCell ref="I39:K39"/>
    <mergeCell ref="W39:Y39"/>
    <mergeCell ref="V35:W35"/>
    <mergeCell ref="X35:AA35"/>
    <mergeCell ref="I36:K36"/>
    <mergeCell ref="W36:Y36"/>
    <mergeCell ref="D40:I40"/>
    <mergeCell ref="P40:Q40"/>
    <mergeCell ref="B43:N43"/>
    <mergeCell ref="B38:C38"/>
    <mergeCell ref="E38:G38"/>
    <mergeCell ref="H38:I38"/>
  </mergeCells>
  <dataValidations count="3">
    <dataValidation type="list" allowBlank="1" showInputMessage="1" showErrorMessage="1" sqref="I4:J4" xr:uid="{00000000-0002-0000-0400-000000000000}">
      <formula1>"Select,LP-04_All of Canada except Toronto, LP-04_Toronto,LP-05_All of Canada except Toronto, LP-05_Toronto"</formula1>
    </dataValidation>
    <dataValidation type="decimal" allowBlank="1" showInputMessage="1" showErrorMessage="1" errorTitle="Invalid Entry" error="Please enter a value between 0 to 30" prompt="The value cannot exceed 30%" sqref="K19:K22" xr:uid="{00000000-0002-0000-0400-000001000000}">
      <formula1>0</formula1>
      <formula2>0.3</formula2>
    </dataValidation>
    <dataValidation type="date" operator="greaterThan" allowBlank="1" showInputMessage="1" showErrorMessage="1" sqref="J16" xr:uid="{00000000-0002-0000-0400-000002000000}">
      <formula1>B28</formula1>
    </dataValidation>
  </dataValidations>
  <pageMargins left="0.7" right="0.7" top="0.75" bottom="0.75" header="0.3" footer="0.3"/>
  <pageSetup orientation="portrait" verticalDpi="0" r:id="rId1"/>
  <ignoredErrors>
    <ignoredError sqref="K13"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'Data Validation'!$B$3:$B$34</xm:f>
          </x14:formula1>
          <xm:sqref>J14</xm:sqref>
        </x14:dataValidation>
        <x14:dataValidation type="list" allowBlank="1" showInputMessage="1" showErrorMessage="1" xr:uid="{00000000-0002-0000-0400-000004000000}">
          <x14:formula1>
            <xm:f>'Data Validation'!$A$3:$A$15</xm:f>
          </x14:formula1>
          <xm:sqref>J13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4"/>
  <sheetViews>
    <sheetView topLeftCell="A3" workbookViewId="0">
      <selection activeCell="F21" sqref="F21"/>
    </sheetView>
  </sheetViews>
  <sheetFormatPr defaultColWidth="8.85546875" defaultRowHeight="15" x14ac:dyDescent="0.25"/>
  <cols>
    <col min="1" max="16384" width="8.85546875" style="236"/>
  </cols>
  <sheetData>
    <row r="1" spans="1:6" x14ac:dyDescent="0.25">
      <c r="A1" s="236" t="s">
        <v>56</v>
      </c>
    </row>
    <row r="2" spans="1:6" x14ac:dyDescent="0.25">
      <c r="A2" s="236" t="s">
        <v>51</v>
      </c>
      <c r="B2" s="236" t="s">
        <v>57</v>
      </c>
      <c r="C2" s="236" t="s">
        <v>58</v>
      </c>
      <c r="D2" s="236" t="s">
        <v>59</v>
      </c>
      <c r="E2" s="236" t="s">
        <v>19</v>
      </c>
      <c r="F2" s="236" t="s">
        <v>169</v>
      </c>
    </row>
    <row r="3" spans="1:6" x14ac:dyDescent="0.25">
      <c r="A3" s="236" t="s">
        <v>4</v>
      </c>
      <c r="B3" s="236" t="s">
        <v>4</v>
      </c>
      <c r="C3" s="236" t="s">
        <v>60</v>
      </c>
      <c r="D3" s="236" t="s">
        <v>60</v>
      </c>
      <c r="E3" s="236" t="s">
        <v>4</v>
      </c>
      <c r="F3" s="236" t="s">
        <v>60</v>
      </c>
    </row>
    <row r="4" spans="1:6" x14ac:dyDescent="0.25">
      <c r="A4" s="236" t="s">
        <v>40</v>
      </c>
      <c r="B4" s="236">
        <v>1</v>
      </c>
      <c r="C4" s="236" t="s">
        <v>61</v>
      </c>
      <c r="D4" s="236">
        <v>1</v>
      </c>
      <c r="E4" s="236">
        <v>2017</v>
      </c>
      <c r="F4" s="236">
        <v>2017</v>
      </c>
    </row>
    <row r="5" spans="1:6" x14ac:dyDescent="0.25">
      <c r="A5" s="236" t="s">
        <v>41</v>
      </c>
      <c r="B5" s="236">
        <v>2</v>
      </c>
      <c r="C5" s="236" t="s">
        <v>62</v>
      </c>
      <c r="D5" s="236">
        <v>2</v>
      </c>
      <c r="E5" s="236">
        <v>2018</v>
      </c>
      <c r="F5" s="236">
        <v>2018</v>
      </c>
    </row>
    <row r="6" spans="1:6" x14ac:dyDescent="0.25">
      <c r="A6" s="236" t="s">
        <v>42</v>
      </c>
      <c r="B6" s="236">
        <v>3</v>
      </c>
      <c r="C6" s="236" t="s">
        <v>63</v>
      </c>
      <c r="D6" s="236">
        <v>3</v>
      </c>
      <c r="E6" s="236">
        <v>2019</v>
      </c>
      <c r="F6" s="236">
        <v>2019</v>
      </c>
    </row>
    <row r="7" spans="1:6" x14ac:dyDescent="0.25">
      <c r="A7" s="236" t="s">
        <v>43</v>
      </c>
      <c r="B7" s="236">
        <v>4</v>
      </c>
      <c r="C7" s="236" t="s">
        <v>64</v>
      </c>
      <c r="D7" s="236">
        <v>4</v>
      </c>
    </row>
    <row r="8" spans="1:6" x14ac:dyDescent="0.25">
      <c r="A8" s="236" t="s">
        <v>44</v>
      </c>
      <c r="B8" s="236">
        <v>5</v>
      </c>
      <c r="C8" s="236" t="s">
        <v>65</v>
      </c>
      <c r="D8" s="236">
        <v>5</v>
      </c>
    </row>
    <row r="9" spans="1:6" x14ac:dyDescent="0.25">
      <c r="A9" s="236" t="s">
        <v>45</v>
      </c>
      <c r="B9" s="236">
        <v>6</v>
      </c>
      <c r="C9" s="236" t="s">
        <v>66</v>
      </c>
      <c r="D9" s="236">
        <v>6</v>
      </c>
    </row>
    <row r="10" spans="1:6" x14ac:dyDescent="0.25">
      <c r="A10" s="236" t="s">
        <v>46</v>
      </c>
      <c r="B10" s="236">
        <v>7</v>
      </c>
      <c r="C10" s="236" t="s">
        <v>67</v>
      </c>
      <c r="D10" s="236">
        <v>7</v>
      </c>
    </row>
    <row r="11" spans="1:6" x14ac:dyDescent="0.25">
      <c r="A11" s="236" t="s">
        <v>47</v>
      </c>
      <c r="B11" s="236">
        <v>8</v>
      </c>
      <c r="C11" s="236" t="s">
        <v>68</v>
      </c>
      <c r="D11" s="236">
        <v>8</v>
      </c>
    </row>
    <row r="12" spans="1:6" x14ac:dyDescent="0.25">
      <c r="A12" s="236" t="s">
        <v>32</v>
      </c>
      <c r="B12" s="236">
        <v>9</v>
      </c>
      <c r="C12" s="236" t="s">
        <v>69</v>
      </c>
      <c r="D12" s="236">
        <v>9</v>
      </c>
    </row>
    <row r="13" spans="1:6" x14ac:dyDescent="0.25">
      <c r="A13" s="236" t="s">
        <v>48</v>
      </c>
      <c r="B13" s="236">
        <v>10</v>
      </c>
      <c r="C13" s="236" t="s">
        <v>70</v>
      </c>
      <c r="D13" s="236">
        <v>10</v>
      </c>
    </row>
    <row r="14" spans="1:6" x14ac:dyDescent="0.25">
      <c r="A14" s="236" t="s">
        <v>49</v>
      </c>
      <c r="B14" s="236">
        <v>11</v>
      </c>
      <c r="C14" s="236" t="s">
        <v>71</v>
      </c>
      <c r="D14" s="236">
        <v>11</v>
      </c>
    </row>
    <row r="15" spans="1:6" x14ac:dyDescent="0.25">
      <c r="A15" s="236" t="s">
        <v>50</v>
      </c>
      <c r="B15" s="236">
        <v>12</v>
      </c>
      <c r="C15" s="236" t="s">
        <v>72</v>
      </c>
      <c r="D15" s="236">
        <v>12</v>
      </c>
    </row>
    <row r="16" spans="1:6" x14ac:dyDescent="0.25">
      <c r="B16" s="236">
        <v>13</v>
      </c>
      <c r="D16" s="236">
        <v>13</v>
      </c>
    </row>
    <row r="17" spans="2:4" x14ac:dyDescent="0.25">
      <c r="B17" s="236">
        <v>14</v>
      </c>
      <c r="D17" s="236">
        <v>14</v>
      </c>
    </row>
    <row r="18" spans="2:4" x14ac:dyDescent="0.25">
      <c r="B18" s="236">
        <v>15</v>
      </c>
      <c r="D18" s="236">
        <v>15</v>
      </c>
    </row>
    <row r="19" spans="2:4" x14ac:dyDescent="0.25">
      <c r="B19" s="236">
        <v>16</v>
      </c>
      <c r="D19" s="236">
        <v>16</v>
      </c>
    </row>
    <row r="20" spans="2:4" x14ac:dyDescent="0.25">
      <c r="B20" s="236">
        <v>17</v>
      </c>
      <c r="D20" s="236">
        <v>17</v>
      </c>
    </row>
    <row r="21" spans="2:4" x14ac:dyDescent="0.25">
      <c r="B21" s="236">
        <v>18</v>
      </c>
      <c r="D21" s="236">
        <v>18</v>
      </c>
    </row>
    <row r="22" spans="2:4" x14ac:dyDescent="0.25">
      <c r="B22" s="236">
        <v>19</v>
      </c>
      <c r="D22" s="236">
        <v>19</v>
      </c>
    </row>
    <row r="23" spans="2:4" x14ac:dyDescent="0.25">
      <c r="B23" s="236">
        <v>20</v>
      </c>
      <c r="D23" s="236">
        <v>20</v>
      </c>
    </row>
    <row r="24" spans="2:4" x14ac:dyDescent="0.25">
      <c r="B24" s="236">
        <v>21</v>
      </c>
      <c r="D24" s="236">
        <v>21</v>
      </c>
    </row>
    <row r="25" spans="2:4" x14ac:dyDescent="0.25">
      <c r="B25" s="236">
        <v>22</v>
      </c>
      <c r="D25" s="236">
        <v>22</v>
      </c>
    </row>
    <row r="26" spans="2:4" x14ac:dyDescent="0.25">
      <c r="B26" s="236">
        <v>23</v>
      </c>
      <c r="D26" s="236">
        <v>23</v>
      </c>
    </row>
    <row r="27" spans="2:4" x14ac:dyDescent="0.25">
      <c r="B27" s="236">
        <v>24</v>
      </c>
      <c r="D27" s="236">
        <v>24</v>
      </c>
    </row>
    <row r="28" spans="2:4" x14ac:dyDescent="0.25">
      <c r="B28" s="236">
        <v>25</v>
      </c>
      <c r="D28" s="236">
        <v>25</v>
      </c>
    </row>
    <row r="29" spans="2:4" x14ac:dyDescent="0.25">
      <c r="B29" s="236">
        <v>26</v>
      </c>
      <c r="D29" s="236">
        <v>26</v>
      </c>
    </row>
    <row r="30" spans="2:4" x14ac:dyDescent="0.25">
      <c r="B30" s="236">
        <v>27</v>
      </c>
      <c r="D30" s="236">
        <v>27</v>
      </c>
    </row>
    <row r="31" spans="2:4" x14ac:dyDescent="0.25">
      <c r="B31" s="236">
        <v>28</v>
      </c>
      <c r="D31" s="236">
        <v>28</v>
      </c>
    </row>
    <row r="32" spans="2:4" x14ac:dyDescent="0.25">
      <c r="B32" s="236">
        <v>29</v>
      </c>
      <c r="D32" s="236">
        <v>29</v>
      </c>
    </row>
    <row r="33" spans="2:4" x14ac:dyDescent="0.25">
      <c r="B33" s="236">
        <v>30</v>
      </c>
      <c r="D33" s="236">
        <v>30</v>
      </c>
    </row>
    <row r="34" spans="2:4" x14ac:dyDescent="0.25">
      <c r="B34" s="236">
        <v>31</v>
      </c>
      <c r="D34" s="236">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29</vt:i4>
      </vt:variant>
    </vt:vector>
  </HeadingPairs>
  <TitlesOfParts>
    <vt:vector size="35" baseType="lpstr">
      <vt:lpstr>Classification</vt:lpstr>
      <vt:lpstr>LP-01 ENG</vt:lpstr>
      <vt:lpstr>LP-01 FRA</vt:lpstr>
      <vt:lpstr>LP-02 &amp; LP-03 ENG</vt:lpstr>
      <vt:lpstr>LP-04 &amp; LP-05 ENG</vt:lpstr>
      <vt:lpstr>Data Validation</vt:lpstr>
      <vt:lpstr>'LP-01 ENG'!LP01_A</vt:lpstr>
      <vt:lpstr>'LP-01 FRA'!LP01_A</vt:lpstr>
      <vt:lpstr>'LP-01 ENG'!LP01_B</vt:lpstr>
      <vt:lpstr>'LP-01 FRA'!LP01_B</vt:lpstr>
      <vt:lpstr>'LP-01 ENG'!LP01_C</vt:lpstr>
      <vt:lpstr>'LP-01 FRA'!LP01_C</vt:lpstr>
      <vt:lpstr>'LP-01 ENG'!LP01_D</vt:lpstr>
      <vt:lpstr>'LP-01 FRA'!LP01_D</vt:lpstr>
      <vt:lpstr>'LP-01 ENG'!LP01_old_rates</vt:lpstr>
      <vt:lpstr>'LP-01 FRA'!LP01_old_rates</vt:lpstr>
      <vt:lpstr>'LP-01 ENG'!LP02_A</vt:lpstr>
      <vt:lpstr>'LP-01 FRA'!LP02_A</vt:lpstr>
      <vt:lpstr>'LP-01 ENG'!LP02_B</vt:lpstr>
      <vt:lpstr>'LP-01 FRA'!LP02_B</vt:lpstr>
      <vt:lpstr>'LP-01 ENG'!LP02_C</vt:lpstr>
      <vt:lpstr>'LP-01 FRA'!LP02_C</vt:lpstr>
      <vt:lpstr>'LP-01 ENG'!LP02_D</vt:lpstr>
      <vt:lpstr>'LP-01 FRA'!LP02_D</vt:lpstr>
      <vt:lpstr>'LP-02 &amp; LP-03 ENG'!LP02_LP03_A</vt:lpstr>
      <vt:lpstr>'LP-02 &amp; LP-03 ENG'!LP02_LP03_B</vt:lpstr>
      <vt:lpstr>'LP-02 &amp; LP-03 ENG'!LP02_LP03_C</vt:lpstr>
      <vt:lpstr>'LP-02 &amp; LP-03 ENG'!LP02_LP03_D</vt:lpstr>
      <vt:lpstr>'LP-02 &amp; LP-03 ENG'!LP02_LP03_old_rates</vt:lpstr>
      <vt:lpstr>'LP-04 &amp; LP-05 ENG'!LP04_LP05_A</vt:lpstr>
      <vt:lpstr>'LP-04 &amp; LP-05 ENG'!LP04_LP05_B</vt:lpstr>
      <vt:lpstr>'LP-04 &amp; LP-05 ENG'!LP04_LP05_C</vt:lpstr>
      <vt:lpstr>'LP-04 &amp; LP-05 ENG'!LP04_LP05_D</vt:lpstr>
      <vt:lpstr>'LP-04 &amp; LP-05 ENG'!LP04_LP05_old_rates</vt:lpstr>
      <vt:lpstr>'LP-02 &amp; LP-03 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Forgues</dc:creator>
  <cp:lastModifiedBy>Dominique Forgues</cp:lastModifiedBy>
  <cp:lastPrinted>2019-07-29T18:13:28Z</cp:lastPrinted>
  <dcterms:created xsi:type="dcterms:W3CDTF">2019-07-23T17:21:42Z</dcterms:created>
  <dcterms:modified xsi:type="dcterms:W3CDTF">2020-02-07T17:02:58Z</dcterms:modified>
</cp:coreProperties>
</file>